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emil0026\Dropbox\MultiCare Projects\"/>
    </mc:Choice>
  </mc:AlternateContent>
  <xr:revisionPtr revIDLastSave="0" documentId="13_ncr:1_{5FAB5208-1E2B-49B3-B521-5B06C6AA7C22}" xr6:coauthVersionLast="47" xr6:coauthVersionMax="47" xr10:uidLastSave="{00000000-0000-0000-0000-000000000000}"/>
  <bookViews>
    <workbookView xWindow="10065" yWindow="180" windowWidth="17310" windowHeight="15000" xr2:uid="{3131ACAE-87EE-4A08-89BA-76B63B57A8FE}"/>
  </bookViews>
  <sheets>
    <sheet name="Instructions" sheetId="7" r:id="rId1"/>
    <sheet name="Calculator" sheetId="1" r:id="rId2"/>
    <sheet name="Chi-Statistics" sheetId="2" r:id="rId3"/>
    <sheet name="Item Cost Drop Down" sheetId="4" r:id="rId4"/>
    <sheet name="Citation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9" i="2" s="1"/>
  <c r="B12" i="2"/>
  <c r="B13" i="2"/>
  <c r="B15" i="2"/>
  <c r="D12" i="2"/>
  <c r="B19" i="2" s="1"/>
  <c r="B25" i="2" s="1"/>
  <c r="D11" i="2"/>
  <c r="D12" i="1"/>
  <c r="D13" i="1"/>
  <c r="C25" i="2" l="1"/>
  <c r="C13" i="2"/>
  <c r="C15" i="2" s="1"/>
  <c r="D13" i="2"/>
  <c r="B11" i="1"/>
  <c r="B12" i="1"/>
  <c r="I53" i="1"/>
  <c r="D53" i="1"/>
  <c r="B53" i="1"/>
  <c r="I52" i="1"/>
  <c r="F52" i="1"/>
  <c r="E52" i="1"/>
  <c r="B52" i="1"/>
  <c r="G52" i="1" s="1"/>
  <c r="I51" i="1"/>
  <c r="F51" i="1"/>
  <c r="E51" i="1"/>
  <c r="B51" i="1"/>
  <c r="G51" i="1" s="1"/>
  <c r="I50" i="1"/>
  <c r="F50" i="1"/>
  <c r="E50" i="1"/>
  <c r="B50" i="1"/>
  <c r="G50" i="1" s="1"/>
  <c r="I49" i="1"/>
  <c r="F49" i="1"/>
  <c r="B49" i="1"/>
  <c r="E49" i="1" s="1"/>
  <c r="I48" i="1"/>
  <c r="E48" i="1"/>
  <c r="B48" i="1"/>
  <c r="F48" i="1" s="1"/>
  <c r="I47" i="1"/>
  <c r="E47" i="1"/>
  <c r="B47" i="1"/>
  <c r="G47" i="1" s="1"/>
  <c r="C20" i="2" l="1"/>
  <c r="C26" i="2" s="1"/>
  <c r="B20" i="2"/>
  <c r="B26" i="2" s="1"/>
  <c r="F47" i="1"/>
  <c r="G49" i="1"/>
  <c r="E53" i="1"/>
  <c r="G48" i="1"/>
  <c r="B30" i="2" l="1"/>
  <c r="B31" i="2" s="1"/>
  <c r="F53" i="1"/>
  <c r="G53" i="1"/>
  <c r="L27" i="4" l="1"/>
  <c r="I35" i="1"/>
  <c r="I36" i="1"/>
  <c r="I37" i="1"/>
  <c r="I38" i="1"/>
  <c r="I39" i="1"/>
  <c r="I40" i="1"/>
  <c r="I41" i="1"/>
  <c r="I24" i="1"/>
  <c r="I25" i="1"/>
  <c r="I26" i="1"/>
  <c r="I27" i="1"/>
  <c r="I22" i="1"/>
  <c r="I23" i="1"/>
  <c r="B24" i="1"/>
  <c r="B22" i="1"/>
  <c r="B23" i="1"/>
  <c r="B25" i="1"/>
  <c r="B26" i="1"/>
  <c r="B27" i="1"/>
  <c r="B28" i="1"/>
  <c r="B35" i="1"/>
  <c r="G35" i="1" s="1"/>
  <c r="L72" i="4" l="1"/>
  <c r="J38" i="1"/>
  <c r="K22" i="1"/>
  <c r="I28" i="1" s="1"/>
  <c r="F35" i="1"/>
  <c r="L85" i="4" l="1"/>
  <c r="L73" i="4"/>
  <c r="F22" i="1"/>
  <c r="L61" i="4"/>
  <c r="L60" i="4"/>
  <c r="L59" i="4"/>
  <c r="L25" i="4"/>
  <c r="L22" i="4"/>
  <c r="D41" i="1"/>
  <c r="B41" i="1"/>
  <c r="E40" i="1"/>
  <c r="B40" i="1"/>
  <c r="G40" i="1" s="1"/>
  <c r="B39" i="1"/>
  <c r="G39" i="1" s="1"/>
  <c r="B38" i="1"/>
  <c r="G38" i="1" s="1"/>
  <c r="B37" i="1"/>
  <c r="E37" i="1" s="1"/>
  <c r="B36" i="1"/>
  <c r="G36" i="1" s="1"/>
  <c r="F24" i="1"/>
  <c r="F25" i="1"/>
  <c r="F26" i="1"/>
  <c r="F27" i="1"/>
  <c r="E23" i="1"/>
  <c r="E25" i="1"/>
  <c r="E26" i="1"/>
  <c r="E27" i="1"/>
  <c r="G23" i="1"/>
  <c r="G24" i="1"/>
  <c r="G25" i="1"/>
  <c r="G26" i="1"/>
  <c r="G27" i="1"/>
  <c r="D28" i="1"/>
  <c r="E35" i="1" l="1"/>
  <c r="F37" i="1"/>
  <c r="G22" i="1"/>
  <c r="G28" i="1" s="1"/>
  <c r="E22" i="1"/>
  <c r="E39" i="1"/>
  <c r="E38" i="1"/>
  <c r="E36" i="1"/>
  <c r="F40" i="1"/>
  <c r="F39" i="1"/>
  <c r="F38" i="1"/>
  <c r="G37" i="1"/>
  <c r="F36" i="1"/>
  <c r="E24" i="1"/>
  <c r="F23" i="1"/>
  <c r="G41" i="1" l="1"/>
  <c r="D10" i="1" s="1"/>
  <c r="E41" i="1"/>
  <c r="E28" i="1"/>
  <c r="F41" i="1"/>
  <c r="B9" i="1"/>
  <c r="D9" i="1"/>
  <c r="F28" i="1"/>
  <c r="B10" i="1" l="1"/>
  <c r="D14" i="1" s="1"/>
  <c r="A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Calabro</author>
  </authors>
  <commentList>
    <comment ref="A9" authorId="0" shapeId="0" xr:uid="{9EEF9E2C-AA5F-4AC7-9046-2603ACB079A4}">
      <text>
        <r>
          <rPr>
            <b/>
            <sz val="9"/>
            <color indexed="81"/>
            <rFont val="Tahoma"/>
            <charset val="1"/>
          </rPr>
          <t>Emily Calabro:</t>
        </r>
        <r>
          <rPr>
            <sz val="9"/>
            <color indexed="81"/>
            <rFont val="Tahoma"/>
            <charset val="1"/>
          </rPr>
          <t xml:space="preserve">
This is your annualized "cost of doing nothing." Calculated as: (Baseline Annual Events * Cost per Event) + Other Baseline Costs.</t>
        </r>
      </text>
    </comment>
    <comment ref="C9" authorId="0" shapeId="0" xr:uid="{D9001F68-2746-471B-A284-D1ED9AAA0D9C}">
      <text>
        <r>
          <rPr>
            <b/>
            <sz val="9"/>
            <color indexed="81"/>
            <rFont val="Tahoma"/>
            <charset val="1"/>
          </rPr>
          <t>Emily Calabro:</t>
        </r>
        <r>
          <rPr>
            <sz val="9"/>
            <color indexed="81"/>
            <rFont val="Tahoma"/>
            <charset val="1"/>
          </rPr>
          <t xml:space="preserve">
This is your annualized "cost of doing nothing." Calculated as: (Baseline Annual Events * Cost per Event) + Other Baseline Costs.</t>
        </r>
      </text>
    </comment>
    <comment ref="A10" authorId="0" shapeId="0" xr:uid="{11852202-2BD6-4033-87C5-CF58BD19DAF7}">
      <text>
        <r>
          <rPr>
            <b/>
            <sz val="9"/>
            <color indexed="81"/>
            <rFont val="Tahoma"/>
            <charset val="1"/>
          </rPr>
          <t>Emily Calabro:</t>
        </r>
        <r>
          <rPr>
            <sz val="9"/>
            <color indexed="81"/>
            <rFont val="Tahoma"/>
            <charset val="1"/>
          </rPr>
          <t xml:space="preserve">
The total investment required to implement your QI project. This is the "Cost" in the ROI formula.</t>
        </r>
      </text>
    </comment>
    <comment ref="A11" authorId="0" shapeId="0" xr:uid="{437FE1EB-D6E7-4A5A-B33D-6463B96342C7}">
      <text>
        <r>
          <rPr>
            <b/>
            <sz val="9"/>
            <color indexed="81"/>
            <rFont val="Tahoma"/>
            <charset val="1"/>
          </rPr>
          <t>Emily Calabro:</t>
        </r>
        <r>
          <rPr>
            <sz val="9"/>
            <color indexed="81"/>
            <rFont val="Tahoma"/>
            <charset val="1"/>
          </rPr>
          <t xml:space="preserve">
Gross Annual Savings: The total benefit from reducing the problem, *before* project costs are subtracted. Calculated as: (Total Baseline Cost) - (Total Outcome Cost).</t>
        </r>
      </text>
    </comment>
    <comment ref="A12" authorId="0" shapeId="0" xr:uid="{789D5134-1BCE-40A6-8AF2-1ACFB4F62DEF}">
      <text>
        <r>
          <rPr>
            <b/>
            <sz val="9"/>
            <color indexed="81"/>
            <rFont val="Tahoma"/>
            <charset val="1"/>
          </rPr>
          <t>Emily Calabro:</t>
        </r>
        <r>
          <rPr>
            <sz val="9"/>
            <color indexed="81"/>
            <rFont val="Tahoma"/>
            <charset val="1"/>
          </rPr>
          <t xml:space="preserve">
Your final, annualized ROI. Calculated as: (Net Annual Savings / Total Cost of Intervention) * 100.</t>
        </r>
      </text>
    </comment>
    <comment ref="C13" authorId="0" shapeId="0" xr:uid="{98ECF1A0-D922-4596-908C-0D9F9CD4D2D7}">
      <text>
        <r>
          <rPr>
            <b/>
            <sz val="9"/>
            <color indexed="81"/>
            <rFont val="Tahoma"/>
            <charset val="1"/>
          </rPr>
          <t>Emily Calabro:</t>
        </r>
        <r>
          <rPr>
            <sz val="9"/>
            <color indexed="81"/>
            <rFont val="Tahoma"/>
            <charset val="1"/>
          </rPr>
          <t xml:space="preserve">
(Net Annual Savings)
Your final, net financial benefit. This is the "Benefit" in the ROI formula. Calculated as: (Gross Annual Savings) - (Total Cost of Intervention).</t>
        </r>
      </text>
    </comment>
  </commentList>
</comments>
</file>

<file path=xl/sharedStrings.xml><?xml version="1.0" encoding="utf-8"?>
<sst xmlns="http://schemas.openxmlformats.org/spreadsheetml/2006/main" count="736" uniqueCount="408">
  <si>
    <t>ROI Calculator</t>
  </si>
  <si>
    <t>Title of Project</t>
  </si>
  <si>
    <t>MHS Site</t>
  </si>
  <si>
    <t>NPD Practitioner Name</t>
  </si>
  <si>
    <t>% ROI</t>
  </si>
  <si>
    <t>Wage</t>
  </si>
  <si>
    <t>Count (Indicate number of each role or item)</t>
  </si>
  <si>
    <t>Total Wages</t>
  </si>
  <si>
    <t>Additional Comments</t>
  </si>
  <si>
    <t>RN Staff Nurse (Inpatient)</t>
  </si>
  <si>
    <t>NPD Specialist System</t>
  </si>
  <si>
    <t>NPD Program Manager</t>
  </si>
  <si>
    <t>CDIFF</t>
  </si>
  <si>
    <t>CNA</t>
  </si>
  <si>
    <t>ED Tech</t>
  </si>
  <si>
    <t>Nurse Specialist</t>
  </si>
  <si>
    <t xml:space="preserve">Unit-Based NPD </t>
  </si>
  <si>
    <t>Social Worker</t>
  </si>
  <si>
    <t>Item</t>
  </si>
  <si>
    <t>Cost</t>
  </si>
  <si>
    <t>Role Audience</t>
  </si>
  <si>
    <t>CAUTI</t>
  </si>
  <si>
    <t>CLABSI</t>
  </si>
  <si>
    <t>Falls</t>
  </si>
  <si>
    <t>HAPU</t>
  </si>
  <si>
    <t>HAPU Stage IV</t>
  </si>
  <si>
    <t>Total</t>
  </si>
  <si>
    <t xml:space="preserve">Annual absenteeism </t>
  </si>
  <si>
    <t>Adverse drug event</t>
  </si>
  <si>
    <t>Anemia ED</t>
  </si>
  <si>
    <t>Anemia Admission</t>
  </si>
  <si>
    <t>Anemia Pharmacy Expenses</t>
  </si>
  <si>
    <t>Surgical Admission</t>
  </si>
  <si>
    <t>Medical Admission</t>
  </si>
  <si>
    <t>Labor/delivery newborn admission</t>
  </si>
  <si>
    <t>Mental health admission</t>
  </si>
  <si>
    <t xml:space="preserve">Substance abuse admission </t>
  </si>
  <si>
    <t>Emergency Room visit</t>
  </si>
  <si>
    <t>Administered drugs</t>
  </si>
  <si>
    <t>Anesthesia</t>
  </si>
  <si>
    <t>Radiology</t>
  </si>
  <si>
    <t>Lab/Pathology</t>
  </si>
  <si>
    <t>Psychiatry</t>
  </si>
  <si>
    <t>Immunizations</t>
  </si>
  <si>
    <t>Asthma</t>
  </si>
  <si>
    <t>Asthma Child</t>
  </si>
  <si>
    <t>Breast milk 1 oz</t>
  </si>
  <si>
    <t>Cancer Patient Visit</t>
  </si>
  <si>
    <t>Cancer Medication Annual</t>
  </si>
  <si>
    <t>Cancer Outpatient</t>
  </si>
  <si>
    <t>Employee Injury- per incidence</t>
  </si>
  <si>
    <t xml:space="preserve">Employee Injury-musculoskeletal </t>
  </si>
  <si>
    <t>Employee Injury- needle stick</t>
  </si>
  <si>
    <t>Epilepsy</t>
  </si>
  <si>
    <t>Heart Attack</t>
  </si>
  <si>
    <t>Hospital stay per day</t>
  </si>
  <si>
    <t>Hypertension</t>
  </si>
  <si>
    <t>Influenza</t>
  </si>
  <si>
    <t>Kidney Disease</t>
  </si>
  <si>
    <t>Lupus</t>
  </si>
  <si>
    <t>Mental Health LOS greater than 24 hrs</t>
  </si>
  <si>
    <t>Mental Health Pediatric</t>
  </si>
  <si>
    <t>Mental Health Adult</t>
  </si>
  <si>
    <t>Bipolar Treatment</t>
  </si>
  <si>
    <t>Depression Treatment</t>
  </si>
  <si>
    <t>Psychosis Treatment</t>
  </si>
  <si>
    <t>Externalizing Disorder</t>
  </si>
  <si>
    <t>ADHD Disorder</t>
  </si>
  <si>
    <t>Eating Disorder</t>
  </si>
  <si>
    <t>Anxiety Disorder</t>
  </si>
  <si>
    <t>MRSA- Pneumonia</t>
  </si>
  <si>
    <t>MRSA- Infections</t>
  </si>
  <si>
    <t>MSAA- Pneumonia</t>
  </si>
  <si>
    <t>MSSA-Infection</t>
  </si>
  <si>
    <t>Narcan Spray</t>
  </si>
  <si>
    <t>Narcan Injection</t>
  </si>
  <si>
    <t>Back Injury</t>
  </si>
  <si>
    <t>OB Adverse Events</t>
  </si>
  <si>
    <t>Orientation- New Residency Program</t>
  </si>
  <si>
    <t>Travel Nurse (with fees)</t>
  </si>
  <si>
    <t>RN 1% Turnover Change</t>
  </si>
  <si>
    <t>Bronchitis</t>
  </si>
  <si>
    <t>Upper Respiratory Infection</t>
  </si>
  <si>
    <t>Pneumonia</t>
  </si>
  <si>
    <t>Ventilator-associated pneumonia</t>
  </si>
  <si>
    <t>Stroke</t>
  </si>
  <si>
    <t>Subcutaneous drug delivery</t>
  </si>
  <si>
    <t>IV drug delivery</t>
  </si>
  <si>
    <t>Substance Use Disorder ED visit</t>
  </si>
  <si>
    <t xml:space="preserve">Substance Use Methadone </t>
  </si>
  <si>
    <t>Substance Use Bupremorphine</t>
  </si>
  <si>
    <t>Substance Use Naltrexone</t>
  </si>
  <si>
    <t>Surgical Site Infection (SSI)</t>
  </si>
  <si>
    <t>Vaccine Preventable Disease (IP) Measles</t>
  </si>
  <si>
    <t>Vaccine Preventable Disease (IP) Mumps</t>
  </si>
  <si>
    <t>Vaccine Preventable Disease (IP) Hepatitis B</t>
  </si>
  <si>
    <t>Vaccine Preventable Disease (IP) Varicella</t>
  </si>
  <si>
    <t>Vaccine Preventable Disease (IP) Pneumoccocal</t>
  </si>
  <si>
    <t>Violence-Workplace Violence Program</t>
  </si>
  <si>
    <t>Violence-Workplace Violence per case</t>
  </si>
  <si>
    <t>Vancomycin Resist. Enterocci (VRE)</t>
  </si>
  <si>
    <t>Venous Thromboembolism (VTE)</t>
  </si>
  <si>
    <t>Employee Wellness Program Savings per employee per year</t>
  </si>
  <si>
    <t>RN Replacement (Turnover)-New</t>
  </si>
  <si>
    <t xml:space="preserve">RN Replacement (Turnover)- Experienced </t>
  </si>
  <si>
    <t>Hospital stay per day- critical care</t>
  </si>
  <si>
    <t>Patient</t>
  </si>
  <si>
    <t>Quantity of items/hours</t>
  </si>
  <si>
    <t>Expense</t>
  </si>
  <si>
    <t>Cost of Item, Wage</t>
  </si>
  <si>
    <t>Total Item Cost</t>
  </si>
  <si>
    <t>NPD/Leader/ Educator Name</t>
  </si>
  <si>
    <t>Item, Role, Audience, Expense</t>
  </si>
  <si>
    <t>Supplies</t>
  </si>
  <si>
    <t>Blood Culture - Negative</t>
  </si>
  <si>
    <t>Blood Culture- Episode</t>
  </si>
  <si>
    <t>Blood Culture- Contaminated</t>
  </si>
  <si>
    <t>Number of Months Post Intervention</t>
  </si>
  <si>
    <t>$$5,000</t>
  </si>
  <si>
    <t xml:space="preserve">Harmony Hill </t>
  </si>
  <si>
    <t>JSP Grant</t>
  </si>
  <si>
    <t>https://www.nsinursingsolutions.com/Documents/Library/NSI_National_Health_Care_Retention_Report.pdf</t>
  </si>
  <si>
    <t xml:space="preserve">For every dollar spent, how much is saved? </t>
  </si>
  <si>
    <t xml:space="preserve">Citation </t>
  </si>
  <si>
    <t>Citation</t>
  </si>
  <si>
    <t>Healthcare Item</t>
  </si>
  <si>
    <t>Discrepancy: $19,118 is significantly higher than verified annual direct medical costs (~$1,319/child [1, 2], ~$2,500-$3,000 incremental cost for adults [3]). Figure may represent lifetime/societal costs or severe cases.</t>
  </si>
  <si>
    <t>[1, 2, 3]</t>
  </si>
  <si>
    <t>Unverifiable: $813 lacks context (per day/stay?) and specific sourcing in provided materials.</t>
  </si>
  <si>
    <t>[4, 5, 6, 7, 8, 9, 10]</t>
  </si>
  <si>
    <t>$5,746 (Note: Wide 95% CI -$3,950–$15,441, based on limited studies, primarily opioid-related)</t>
  </si>
  <si>
    <t>[11]</t>
  </si>
  <si>
    <t>Plausible: $11,433 aligns with general average stay costs in mid-late 2010s, but lacks specific verification for anemia as primary diagnosis in snippets.</t>
  </si>
  <si>
    <t>[12, 5, 13, 14, 15]</t>
  </si>
  <si>
    <t>Plausible: $624 aligns with average treat-and-release ED visit costs ($530-$750) for 2017-2021.</t>
  </si>
  <si>
    <t>[16, 17, 18, 19, 20]</t>
  </si>
  <si>
    <t>Unverifiable: $5,988 lacks context and specific sourcing for anemia pharmacy costs in provided materials. Seems high unless including expensive therapies or total patient spend.</t>
  </si>
  <si>
    <t>[21, 22, 23]</t>
  </si>
  <si>
    <t>Unverifiable: $755 lacks context (procedure type, duration, etc.). Costs vary widely ($100 - $15,000+).</t>
  </si>
  <si>
    <t>[24, 25, 26, 27, 28, 29, 30, 31]</t>
  </si>
  <si>
    <t>Annual absenteeism</t>
  </si>
  <si>
    <t>$1,685 (per employee, productivity loss)</t>
  </si>
  <si>
    <t>[32, 33, 34]</t>
  </si>
  <si>
    <t>Discrepancy: $19,118 is significantly higher than verified annual direct medical costs (~$1,374/adult treated [35]) or incremental costs (~$1,600-$2,100 [36, 37]). Figure may represent lifetime/societal costs or severe cases.</t>
  </si>
  <si>
    <t>[35, 36, 37]</t>
  </si>
  <si>
    <t>$2,191 (Plausible annual cost, likely late 2000s/early 2010s data. Falls between estimates like $2,503 [38] and $3,266 [39, 40])</t>
  </si>
  <si>
    <t>[41, 39, 42, 38, 40, 43, 44, 45]</t>
  </si>
  <si>
    <t>$690 (Average per child expenditure for treatment, 2012 MEPS data)</t>
  </si>
  <si>
    <t>[41, 39, 46, 38, 40, 43]</t>
  </si>
  <si>
    <t>Unlikely: $2,243 seems low for a significant injury requiring extensive treatment. May represent minor episode or specific cost component.</t>
  </si>
  <si>
    <t>[47, 48, 49, 50, 51]</t>
  </si>
  <si>
    <t>$17,058 (Plausible average annual all-cause healthcare costs for individuals with bipolar disorder, within reported ranges of $11k-$47k)</t>
  </si>
  <si>
    <t>[52, 53, 54]</t>
  </si>
  <si>
    <t>$3.97 (Plausible average cost per ounce for pasteurized donor human milk from non-profit banks, typical range $3-$5.50)</t>
  </si>
  <si>
    <t>[55, 56, 57, 58, 59, 60, 61]</t>
  </si>
  <si>
    <t>$9,130 (Calculated total expected cost per episode without ISDD/RDT, baseline 6% contamination)</t>
  </si>
  <si>
    <t>[62, 63]</t>
  </si>
  <si>
    <t>$4,253 (Calculated attributable hospital cost of contamination vs. negative culture)</t>
  </si>
  <si>
    <t>[62, 64]</t>
  </si>
  <si>
    <t>$7,873 (Calculated baseline hospital cost for episode with negative culture)</t>
  </si>
  <si>
    <t>[62]</t>
  </si>
  <si>
    <t>$21,329 (Plausible average annual total healthcare expenditure per cancer patient, fits within MEPS range $13.7k-$23.7k. Not per visit.)</t>
  </si>
  <si>
    <t>[65, 66, 67, 68]</t>
  </si>
  <si>
    <t>Discrepancy: $48,108 matches CLABSI cost. Verified AHRQ meta-analysis estimate is $13,793 (95% CI: $5,019–$22,568). Other literature suggests costs likely &gt;$1,000.</t>
  </si>
  <si>
    <t>[11, 69, 70, 71, 72, 73, 74, 75, 76]</t>
  </si>
  <si>
    <t>$24,205 (Attributable healthcare costs over 6-month follow-up for primary CDI, based on Zhang et al. 2018 MarketScan study. Note: AHRQ meta-analysis estimated $17,260 per case.)</t>
  </si>
  <si>
    <t>[11, 77, 78, 79]</t>
  </si>
  <si>
    <t>$48,108 (Additional cost per case, 2017 AHRQ meta-analysis. Aligns with Zimlichman et al. 2013 estimate of $45,814 adjusted for inflation.)</t>
  </si>
  <si>
    <t>[11, 80, 81, 82, 83, 84, 85, 86, 87, 88, 89]</t>
  </si>
  <si>
    <t>$21.76/hr (Plausible, but higher than national median of $18.36/hr [90] or average of $19.84/hr.[91] May reflect specific region/setting.)</t>
  </si>
  <si>
    <t>[90, 91]</t>
  </si>
  <si>
    <t>Discrepancy: $13,200 appears high compared to average annual treatment costs from MEPS. May reflect severe cases, inpatient care, or indirect costs.</t>
  </si>
  <si>
    <t>[92, 93, 94, 95]</t>
  </si>
  <si>
    <t>Discrepancy: $46,130 is significantly higher than recent estimates of societal cost ($11,808 [96]) or total healthcare spending ($29,456 [97]). May reflect intensive residential care or include significant indirect costs.</t>
  </si>
  <si>
    <t>[96, 97, 98]</t>
  </si>
  <si>
    <t>$21.76/hr (Plausible. Slightly above BLS 2023 mean EMT wage of $20.72/hr [99], within reported ranges.)</t>
  </si>
  <si>
    <t>[99, 100, 101, 102, 103, 104, 105]</t>
  </si>
  <si>
    <t>Discrepancy: $2,096 is much higher than AHRQ HCUP average treat-and-release costs ($530 in 2017 [16, 18], $750 in 2021 [17]). May reflect admitted patients, high acuity, or charges.</t>
  </si>
  <si>
    <t>[16, 17, 18, 106, 107, 108]</t>
  </si>
  <si>
    <t>Discrepancy: $25,523 is exceptionally high compared to typical post-exposure management costs (~$425 direct + ~$322 indirect [109, 110]). May reflect rare disease transmission or litigation costs.</t>
  </si>
  <si>
    <t>[109, 110]</t>
  </si>
  <si>
    <t>Unverifiable: $73,749 lacks context (type/severity of injury). Costs vary widely.</t>
  </si>
  <si>
    <t>[47, 111, 112, 48, 113, 49, 50, 51, 114]</t>
  </si>
  <si>
    <t>Employee Injury-musculoskeletal</t>
  </si>
  <si>
    <t>$33,140 (Plausible estimate for a significant work-related MSD, within reported ranges like OSHA's $15k-$85k [111] or workers' comp claims ~$15.6k.[47])</t>
  </si>
  <si>
    <t>[47, 111, 48, 49, 50, 51, 114]</t>
  </si>
  <si>
    <t>$358 (Average annual medical cost savings per participating employee, based on Baicker et al. 2010 meta-analysis.)</t>
  </si>
  <si>
    <t>[115, 116, 117, 118, 119, 120, 121]</t>
  </si>
  <si>
    <t>$4,009 (Plausible estimate of average annual incremental direct medical cost, close to recent MEPS estimate of $4,580.[122, 123])</t>
  </si>
  <si>
    <t>[122, 123, 124, 125]</t>
  </si>
  <si>
    <t>Unverifiable: $18,784 lacks specific sourcing or context in provided materials.</t>
  </si>
  <si>
    <t>N/A</t>
  </si>
  <si>
    <t>$14,000 (Specifically represents net avoided costs per 1,000 patient-days from Fall TIPS program.[126, 127, 128, 129] Not average cost per fall event, which is lower ~$6,700 [11] or ~$14k per injury.[130])</t>
  </si>
  <si>
    <t>[11, 126, 127, 128, 130, 129, 131, 132]</t>
  </si>
  <si>
    <t>Harmony Hill</t>
  </si>
  <si>
    <t>~$750 (Plausible total cost for a specific wellness retreat, based on listed tuition of $550 + room/meals.)</t>
  </si>
  <si>
    <t>[133, 134]</t>
  </si>
  <si>
    <t>Unspecified cost. Context needed. Could refer to AHRQ meta-analysis avg ($14,506 [11]) or CMS estimate (~$43k [135, 136]).</t>
  </si>
  <si>
    <t>[11, 137, 135, 136, 138]</t>
  </si>
  <si>
    <t>$129,240 (Average hospital treatment cost per admission for hospital-acquired Stage IV PU, Brem et al. 2010.)</t>
  </si>
  <si>
    <t>[139, 140, 137]</t>
  </si>
  <si>
    <t>Discrepancy: $53,384 is much higher than average AMI hospitalization costs (~$18k-$19k [8, 13, 141, 142, 143, 144, 145, 146]) or average annual per-person costs (~$5.5k [147, 148, 149]). May reflect lifetime/societal costs or charges.</t>
  </si>
  <si>
    <t>[150, 8, 13, 141, 147, 148, 142, 143, 144, 145, 146, 149]</t>
  </si>
  <si>
    <t>$3,013 (Consistent with recent national averages, e.g., $2,883 in 2021 [150], $3,025 in 2022.[151])</t>
  </si>
  <si>
    <t>[150, 151, 12, 152, 5, 13, 153, 107, 154, 155, 156, 157, 158, 159, 160]</t>
  </si>
  <si>
    <t>Discrepancy: $15,000 likely overstated or represents charges. Studies report average daily costs closer to $4,000-$4,300 [161, 162], though day 1 costs can be higher (~$7k-$11k [161]). Figure might reflect charge reductions from interventions.[163]</t>
  </si>
  <si>
    <t>[164, 11, 161, 162, 163, 165, 7, 107, 166, 167]</t>
  </si>
  <si>
    <t>$758 (Consistent with estimates for direct treatment costs only, e.g., $776.[168] Total incremental annual costs are higher, ~$2,700-$3,000.[168, 169, 170, 171])</t>
  </si>
  <si>
    <t>[168, 169, 170, 171]</t>
  </si>
  <si>
    <t>Unverifiable: $72 lacks context (specific vaccine?). Costs vary widely by vaccine type (e.g., Hep B ~$15-$78/dose, HPV ~$257-$308/dose [172]).</t>
  </si>
  <si>
    <t>[172]</t>
  </si>
  <si>
    <t>$626 (Plausible average annual expense per person treated, aligns with $587 from 2017 MEPS data.[173] Older data showed lower averages.[174])</t>
  </si>
  <si>
    <t>[173, 175, 174, 176]</t>
  </si>
  <si>
    <t>Unverifiable: $113.13 lacks context (drug, duration, setting, etc.).</t>
  </si>
  <si>
    <t>Discrepancy: $5,104 seems low compared to recent estimates (e.g., MEPS 2003-07 avg $6,823 [177]; Medicare CKD spending $27k+ [178, 179]). NIDA estimate $5,624 [180] lacks context. Figure may be outdated or represent specific subset.</t>
  </si>
  <si>
    <t>[177, 178, 180, 179]</t>
  </si>
  <si>
    <t>Unverifiable: $28 likely represents a single basic test, not a general average. Lacks context.</t>
  </si>
  <si>
    <t>Plausible: $9,851 falls between older (~$8.8k [181]) and newer (~$13.4k-$18.9k [182, 183, 184]) estimates. HCUP 2008 avg was lower ($3.8k [185, 186]). Could reflect specific payer/year in mid-2010s.</t>
  </si>
  <si>
    <t>[12, 181, 182, 183, 184, 185, 186]</t>
  </si>
  <si>
    <t>Discrepancy: $2,212 appears erroneously low. Recent studies report average annual direct costs starting ~$13k even for mild cases.[187, 188, 189]</t>
  </si>
  <si>
    <t>[187, 188, 189]</t>
  </si>
  <si>
    <t>Plausible for complex cases/recent years: $19,672 is higher than overall HCUP averages ($9.7k in 2010 [13], $11.7k in 2016/17 [12, 5]). Could reflect recent data or high-cost conditions.</t>
  </si>
  <si>
    <t>[12, 5, 13, 153, 14, 190]</t>
  </si>
  <si>
    <t>$9,879 (Plausible average cost, higher than overall MSUD avg $7.1k [191] but within range for specific conditions like schizophrenia $8.9k.[191])</t>
  </si>
  <si>
    <t>[191, 192]</t>
  </si>
  <si>
    <t>$2,375 (Plausible average annual expenditure per adult treated, potentially newer data than $1,751 from MEPS 2009-11.[193])</t>
  </si>
  <si>
    <t>[193, 194, 195]</t>
  </si>
  <si>
    <t>Ambiguous/Unverifiable: $4,050 does not clearly correspond to average stay cost or per diem based on avg LOS. Requires clarification.</t>
  </si>
  <si>
    <t>[164, 191, 108, 196]</t>
  </si>
  <si>
    <t>Discrepancy: $1,317 appears low. MEPS 2009-11 avg was $2,192 [197, 53]; 2024 study found $3,075 incremental spending.[198] May be older data or narrower cost definition.</t>
  </si>
  <si>
    <t>[197, 198, 53]</t>
  </si>
  <si>
    <t>$14,792 (Propensity score-adjusted cost for unspecified MRSA hospitalizations, Klein et al. 2018 study.[199] Consistent with earlier AHRQ briefs ~$14k.[200, 201, 202, 203])</t>
  </si>
  <si>
    <t>[199, 200, 201, 202, 203]</t>
  </si>
  <si>
    <t>$38,500 (Rounded from $38,561, propensity score-adjusted cost for MRSA pneumonia hospitalizations, Klein et al. 2018 study.[199])</t>
  </si>
  <si>
    <t>[199, 202, 203]</t>
  </si>
  <si>
    <t>$40,700 (Rounded from $40,725, propensity score-adjusted cost for MSSA pneumonia hospitalizations, Klein et al. 2018 study.[199, 204])</t>
  </si>
  <si>
    <t>[199, 204]</t>
  </si>
  <si>
    <t>$15,578 (Propensity score-adjusted cost for unspecified MSSA hospitalizations, Klein et al. 2018 study.[199])</t>
  </si>
  <si>
    <t>[199, 205, 206]</t>
  </si>
  <si>
    <t>$4,000 (Plausible, but specifically refers to historical high list price of Evzio auto-injector 2-pack.[207, 208, 209, 210, 211, 212, 213, 214] Generic naloxone vials are much cheaper ~$21-$51.[215])</t>
  </si>
  <si>
    <t>[207, 208, 209, 215, 210, 216, 211, 212, 213, 214, 217]</t>
  </si>
  <si>
    <t>$140 (Appears high compared to current typical OTC costs ~$45-$50.[218, 219] May reflect older price, bulk purchase, or specific bundled kit.[220, 221, 222, 223])</t>
  </si>
  <si>
    <t>[218, 219, 220, 221, 222, 223, 224]</t>
  </si>
  <si>
    <t>$76.8/hr (~$159.7k/yr) (Appears high relative to benchmarks ~$106k-$143k.[225, 226] May reflect senior role, total comp, or specific high-paying org/location.)</t>
  </si>
  <si>
    <t>[225, 226]</t>
  </si>
  <si>
    <t>$64/hr (~$133k/yr) (Plausible, aligns with national 75th percentile.[227] Represents high end of typical range.)</t>
  </si>
  <si>
    <t>[227, 228]</t>
  </si>
  <si>
    <t>$72.96/hr (~$151.7k/yr) (Appears high relative to typical CNS salaries, exceeds 90th percentile ~$137k.[229, 230] May reflect specialization, experience, location, or total comp.)</t>
  </si>
  <si>
    <t>[229, 230]</t>
  </si>
  <si>
    <t>$602 (Additional cost per OBAE case, 2017 AHRQ meta-analysis. Note: Wide 95% CI -$578–$1,782, based on limited studies/conditions.)</t>
  </si>
  <si>
    <t>Unverifiable: $97,777 lacks context (per resident? total program?). Available data suggests lower per-resident costs.[231, 232, 233, 234] ANCC Magnet fees are for accreditation.[235]</t>
  </si>
  <si>
    <t>[231, 236, 232, 237, 233, 235, 234]</t>
  </si>
  <si>
    <t>$1 (Symbolic unit, not a monetary cost)</t>
  </si>
  <si>
    <t>Discrepancy: $4,532 is much lower than average pneumonia hospitalization costs (~$9k reported by HCUP [11, 5, 8, 13, 144]). May reflect outpatient care, less severe cases, or specific data source.</t>
  </si>
  <si>
    <t>[11, 5, 8, 13, 144]</t>
  </si>
  <si>
    <t>$102 (Aligns closely with median cost $103 for office-based psychiatry visit, 2016 MEPS data. Mean cost was higher $159.)</t>
  </si>
  <si>
    <t>[238, 239]</t>
  </si>
  <si>
    <t>$19,676 (Plausible average annual all-cause healthcare costs for individuals with psychotic disorders, considering potential hospitalizations, polypharmacy, comorbidities.)</t>
  </si>
  <si>
    <t>[240, 94]</t>
  </si>
  <si>
    <t>Unverifiable: $138 lacks context (specific procedure?). Plausible for moderate complexity imaging (e.g., more than X-ray, less than CT/MRI).</t>
  </si>
  <si>
    <t>$380,599 (Estimated financial impact per 1% change in RN turnover rate for average hospital, 2023 NSI report. Note: Figure fluctuates yearly, e.g., $262k in 2022 [236], $289k in 2025.[241])</t>
  </si>
  <si>
    <t>[231, 236, 242, 241, 243]</t>
  </si>
  <si>
    <t>RN Replacement (Turnover)- Experienced</t>
  </si>
  <si>
    <t>$56,300 (Average cost of turnover for a bedside RN, 2024 NSI report.)</t>
  </si>
  <si>
    <t>[231, 236, 242, 232, 234, 241, 243]</t>
  </si>
  <si>
    <t>$45,100 (Represents lower end of average cost range $45.1k-$67.5k for RN turnover, 2024 NSI report.[237] Plausibly reflects lower costs for replacing less experienced nurses.)</t>
  </si>
  <si>
    <t>[231, 236, 232, 237, 233, 234]</t>
  </si>
  <si>
    <t>$74.38/hr (~$154.7k/yr) (Significantly higher than national averages ~$45-$47/hr.[244, 245] Likely reflects specific high-cost area, specialty pay, overtime, or travel rates.)</t>
  </si>
  <si>
    <t>[244, 245]</t>
  </si>
  <si>
    <t>$57.6/hr (~$119.8k/yr) (Appears high. Exceeds typical 90th percentile. BLS median ~$28/hr [246]; healthcare social worker avg ~$35/hr [247]; LCSW avg ~$43/hr.[247] May reflect management, private practice, or niche role.)</t>
  </si>
  <si>
    <t>[246, 247]</t>
  </si>
  <si>
    <t>$31,218 (Plausible total annual cost for severe stroke patients.[248] Higher than average per-stay costs ~$9k-$20k [249, 250, 251, 252] or average annual per-person expenditures ~$17k.[253])</t>
  </si>
  <si>
    <t>[13, 141, 248, 249, 250, 253, 142, 145, 251, 252]</t>
  </si>
  <si>
    <t>Unverifiable: $30.19 lacks context (drug, frequency, supplies, etc.).</t>
  </si>
  <si>
    <t>Substance abuse admission</t>
  </si>
  <si>
    <t>$12,098 (Plausible average cost for substance abuse inpatient admission, higher than overall MSUD avg $7.1k [191] but reasonable for specific treatment needs.)</t>
  </si>
  <si>
    <t>[191, 18, 192, 254]</t>
  </si>
  <si>
    <t>Substance Use Buprenorphine</t>
  </si>
  <si>
    <t>$5,980 (Estimated average annual cost for stable patient in OTP setting, NIDA estimate.)</t>
  </si>
  <si>
    <t>[180, 255, 256, 257, 258, 259, 260, 261]</t>
  </si>
  <si>
    <t>$630 (Plausible average cost for treat-and-release ED visit related to SUD, aligns with HCUP 2017-2021 range $520-$750.[17, 18, 108, 262, 263])</t>
  </si>
  <si>
    <t>[17, 18, 108, 262, 263]</t>
  </si>
  <si>
    <t>Unverifiable: $750 does not align with the scale/nature of WA State Job Skills Program matching grants (millions in funding [264]). Source/meaning unclear.</t>
  </si>
  <si>
    <t>[264, 265]</t>
  </si>
  <si>
    <t>$14,112 (Estimated average annual cost for injectable naltrexone (Vivitrol) treatment in OTP setting, NIDA estimate.)</t>
  </si>
  <si>
    <t>[180, 266, 267, 268, 269, 270, 271, 272]</t>
  </si>
  <si>
    <t>Unverifiable: $4,000 lacks context (per day/stay/procedure?).</t>
  </si>
  <si>
    <t>[28, 273, 274]</t>
  </si>
  <si>
    <t>Discrepancy: $43,810 seems high for average surgical admission ($21.2k in 2012 [153], ~$22k in 2018 [275]). Likely represents specific high-cost procedures (transplants, complex cardiac/spinal).</t>
  </si>
  <si>
    <t>[153, 275]</t>
  </si>
  <si>
    <t>$28,219 (Additional cost per SSI case, 2017 AHRQ meta-analysis.[11] Note: More recent studies found slightly lower incremental costs ~$18.6k-$21k [276], costs vary widely by depth [$400 to $30k+ [277]].)</t>
  </si>
  <si>
    <t>[11, 276, 277, 278]</t>
  </si>
  <si>
    <t>$127.12/hr (Plausible total cost to hospital, including wages, stipends, benefits, fees.[279, 280, 281, 282, 283] Not the nurse's base wage. Bill rates often $65-$90+.[279, 280, 281, 283])</t>
  </si>
  <si>
    <t>[279, 280, 281, 282, 283]</t>
  </si>
  <si>
    <t>Unit-Based NPD</t>
  </si>
  <si>
    <t>$60.16/hr (~$125k/yr) (Plausible for experienced unit-based NPD Specialist, between national average $118.6k and 75th percentile $132.3k.[227])</t>
  </si>
  <si>
    <t>$417 (Plausible average cost per URI episode, potentially adult costs or newer data than $290/child in 2012 MEPS.[46] Another study found $37/episode direct medical cost.[284])</t>
  </si>
  <si>
    <t>[46, 284, 285]</t>
  </si>
  <si>
    <t>Discrepancy: $27,051 is much higher than estimated inpatient unit cost per case ($8,940 [286]). May include chronic complications or charges.</t>
  </si>
  <si>
    <t>[172, 286]</t>
  </si>
  <si>
    <t>$46,000 (Plausible, but likely includes outbreak response costs. Higher than direct inpatient unit cost $8,690.[286] Aligns with outbreak cost estimates ~$33k-$47k per case.[287, 288])</t>
  </si>
  <si>
    <t>[286, 287, 288, 289]</t>
  </si>
  <si>
    <t>Discrepancy: $46,060 is much higher than estimated inpatient unit cost per case ($9,200 [286]). May include complications or outbreak costs.</t>
  </si>
  <si>
    <t>[286, 288, 290]</t>
  </si>
  <si>
    <t>Vaccine Preventable Disease (IP) Pneumococcal</t>
  </si>
  <si>
    <t>$25,848 (Plausible for severe/complex cases. Higher than avg inpatient unit cost $15,200 [286], but within range for IPD/pneumonia in immunocompromised adults $17k-$35k.[291])</t>
  </si>
  <si>
    <t>[286, 291, 292]</t>
  </si>
  <si>
    <t>Discrepancy: $22,113 is much higher than estimated inpatient unit cost per case ($7,540 [286]). May reflect costs for rare, complex cases in adults/immunocompromised, as hospitalizations are now uncommon.[293]</t>
  </si>
  <si>
    <t>[286, 293, 294]</t>
  </si>
  <si>
    <t>$17,949 (Verified estimate of mean cost increase per patient [295], BUT from a Canadian study in 2008-2009 CAD. US studies confirm substantial costs but differ in specific figures.[296, 297, 298, 299, 300, 301, 302, 303])</t>
  </si>
  <si>
    <t>[295, 296, 297, 298, 299, 300, 301, 302, 303]</t>
  </si>
  <si>
    <t>$17,367 (Additional cost per VTE case, 2017 AHRQ meta-analysis, 95% CI: $11,837–$22,898)</t>
  </si>
  <si>
    <t>$47,238 (Additional cost per VAP case, 2017 AHRQ meta-analysis.[11] Aligns with other studies ~$40k [84, 85, 304] or ~$51k.[305])</t>
  </si>
  <si>
    <t>[11, 84, 85, 305, 304]</t>
  </si>
  <si>
    <t>Unverifiable: $6,513 lacks specific sourcing in provided materials. Costs vary widely depending on severity. One example cited ~$3k/nurse.[113]</t>
  </si>
  <si>
    <t>[306, 113]</t>
  </si>
  <si>
    <t>Unverifiable: $2,810 lacks context (per employee/facility/year?). OSHA analysis suggested ~$10k/facility.[307]</t>
  </si>
  <si>
    <t>[306, 307, 308]</t>
  </si>
  <si>
    <t>1,2,3</t>
  </si>
  <si>
    <t>4,5,6,7,8,9,10</t>
  </si>
  <si>
    <t>12,5,13,14,15</t>
  </si>
  <si>
    <t>16,17,18,19,20</t>
  </si>
  <si>
    <t>21,22,23</t>
  </si>
  <si>
    <t>24,25,26,27,28,29,30,31</t>
  </si>
  <si>
    <t>32,33,34</t>
  </si>
  <si>
    <t>35,36,37</t>
  </si>
  <si>
    <t>41,39,46,38,40,43</t>
  </si>
  <si>
    <t>41,39,42,40,43,44,45</t>
  </si>
  <si>
    <t>47,48,49,50,51, MHS PI</t>
  </si>
  <si>
    <t>52,53,54</t>
  </si>
  <si>
    <t>55,56,57,58,59,60,61</t>
  </si>
  <si>
    <t>62,63</t>
  </si>
  <si>
    <t>62,64</t>
  </si>
  <si>
    <t>65,66,67,68</t>
  </si>
  <si>
    <t>11,69,70,71,72,73,74,75,76</t>
  </si>
  <si>
    <t>11,77,78,79</t>
  </si>
  <si>
    <t>11,80,81,82,83,84,85,86,87,88,89</t>
  </si>
  <si>
    <t>HP, 90, 91</t>
  </si>
  <si>
    <t>92,93,94,95</t>
  </si>
  <si>
    <t>96,97,98</t>
  </si>
  <si>
    <t>HP, 99,100,101,102,103,104,105</t>
  </si>
  <si>
    <t>16,17,18,106,107,108</t>
  </si>
  <si>
    <t>47,111,48,49,50,51,114</t>
  </si>
  <si>
    <t>47,111,112,48,113,49,50,51,114</t>
  </si>
  <si>
    <t>150,8,13,141,147,148,142,143,144,145,146,149</t>
  </si>
  <si>
    <t>150, 151,12,152,5,13,153,107,154,155,156,157,158,159,160</t>
  </si>
  <si>
    <t>164,11,161,162,163,165,7,107,166,167</t>
  </si>
  <si>
    <t>MHS PI</t>
  </si>
  <si>
    <t>12,5,13,153,14,190</t>
  </si>
  <si>
    <t>164,191,108,196, MHS PI</t>
  </si>
  <si>
    <t>197,198,53</t>
  </si>
  <si>
    <t>HP, 225, 226</t>
  </si>
  <si>
    <t>HP, 227, 228</t>
  </si>
  <si>
    <t>HP, 229, 230</t>
  </si>
  <si>
    <t>231, 236, 232, 237, 233, 235, 234</t>
  </si>
  <si>
    <t>11, 5, 8, 13, 144</t>
  </si>
  <si>
    <t>238, 239</t>
  </si>
  <si>
    <t>240, 94</t>
  </si>
  <si>
    <t>231, 236, 242, 241, 243</t>
  </si>
  <si>
    <t>231, 236, 242, 232, 234, 241, 243</t>
  </si>
  <si>
    <t>231, 236, 232, 237, 233, 234</t>
  </si>
  <si>
    <t>244, 245 HP Data</t>
  </si>
  <si>
    <t>246, 247 HP Data</t>
  </si>
  <si>
    <t>13, 141, 248, 249, 250, 253, 142, 145, 251, 252</t>
  </si>
  <si>
    <t>191, 18, 192, 254</t>
  </si>
  <si>
    <t>11, 276, 277, 278</t>
  </si>
  <si>
    <t>279, 280, 281, 282, 283</t>
  </si>
  <si>
    <t>227, 228</t>
  </si>
  <si>
    <t>46, 284, 285</t>
  </si>
  <si>
    <t>172, 286</t>
  </si>
  <si>
    <t>306, 113</t>
  </si>
  <si>
    <t>306, 307, 308</t>
  </si>
  <si>
    <t>RN coverage</t>
  </si>
  <si>
    <t>ICU</t>
  </si>
  <si>
    <t>Dr. Fauci</t>
  </si>
  <si>
    <t>CAUTI REDUCTION</t>
  </si>
  <si>
    <t>15 Total Cauti cases in ICU for 2024</t>
  </si>
  <si>
    <t>ROI Dashboard</t>
  </si>
  <si>
    <t>Module creation plus 3 classes of teaching</t>
  </si>
  <si>
    <t>education for one hour for 60 nurses</t>
  </si>
  <si>
    <t>Reducing the CAUTIs by a third, total CAUTIs in 2025</t>
  </si>
  <si>
    <t>foley kits</t>
  </si>
  <si>
    <t>Intervention Costs (Project Investment)  e.g. CAUTI Education and Skills</t>
  </si>
  <si>
    <t>Baseline Problem (Current State) e.g. CAUTI CASES 2024</t>
  </si>
  <si>
    <t>Outcome Metrics (Post-Intervention State) e.g. CAUTI 2025</t>
  </si>
  <si>
    <t>Problem per Hospital/Unit/Participant</t>
  </si>
  <si>
    <t>Intervention per Hospital/Unit/Participant</t>
  </si>
  <si>
    <t>Total cost of all Hospitals/Units without intervention</t>
  </si>
  <si>
    <t xml:space="preserve">Total cost of all Hospitals/Units per Intervention </t>
  </si>
  <si>
    <t>Number of Hospitals/Units Participating</t>
  </si>
  <si>
    <t>Total Potential Cost Savings for all Hospitals/Units per Intervention</t>
  </si>
  <si>
    <t>Gross Annual Savings</t>
  </si>
  <si>
    <t>Annualized Savings and Overall Gain</t>
  </si>
  <si>
    <t>Baseline Total Patients</t>
  </si>
  <si>
    <t>Intervention Total Patients</t>
  </si>
  <si>
    <t>Observed Data (Inputs)</t>
  </si>
  <si>
    <t>Total Patients</t>
  </si>
  <si>
    <t>Events (Yes)</t>
  </si>
  <si>
    <t>Events (No)</t>
  </si>
  <si>
    <t>Row Totals</t>
  </si>
  <si>
    <t>Expected Data</t>
  </si>
  <si>
    <t>Event (Yes)</t>
  </si>
  <si>
    <t>Event (No)</t>
  </si>
  <si>
    <t>Baseline Group</t>
  </si>
  <si>
    <t>Intervention Group</t>
  </si>
  <si>
    <t xml:space="preserve">Chi-Square </t>
  </si>
  <si>
    <t>Chi-Square Statistic</t>
  </si>
  <si>
    <t>P-Value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</si>
</sst>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_([$$-409]* #,##0.00_);_([$$-409]* \(#,##0.00\);_([$$-409]* &quot;-&quot;??_);_(@_)"/>
    <numFmt numFmtId="166" formatCode="0.00000E+00"/>
  </numFmts>
  <fonts count="11" x14ac:knownFonts="1">
    <font>
      <sz val="11"/>
      <color theme="1"/>
      <name val="Muli"/>
      <family val="2"/>
    </font>
    <font>
      <b/>
      <sz val="11"/>
      <color theme="0"/>
      <name val="Muli"/>
      <family val="2"/>
    </font>
    <font>
      <b/>
      <sz val="11"/>
      <color theme="1"/>
      <name val="Muli"/>
    </font>
    <font>
      <b/>
      <sz val="11"/>
      <color theme="0"/>
      <name val="Muli"/>
    </font>
    <font>
      <sz val="11"/>
      <color theme="1"/>
      <name val="Muli"/>
      <family val="2"/>
    </font>
    <font>
      <b/>
      <sz val="11"/>
      <color theme="1"/>
      <name val="Muli"/>
      <family val="2"/>
    </font>
    <font>
      <sz val="8"/>
      <name val="Muli"/>
      <family val="2"/>
    </font>
    <font>
      <u/>
      <sz val="11"/>
      <color theme="10"/>
      <name val="Muli"/>
      <family val="2"/>
    </font>
    <font>
      <sz val="10"/>
      <color theme="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theme="9" tint="0.59999389629810485"/>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bgColor theme="4" tint="0.79998168889431442"/>
      </patternFill>
    </fill>
    <fill>
      <patternFill patternType="solid">
        <fgColor theme="8" tint="0.59999389629810485"/>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right style="medium">
        <color rgb="FFCCCCCC"/>
      </right>
      <top style="medium">
        <color rgb="FFCCCCCC"/>
      </top>
      <bottom/>
      <diagonal/>
    </border>
    <border>
      <left style="medium">
        <color rgb="FFCCCCCC"/>
      </left>
      <right style="medium">
        <color rgb="FFCCCCCC"/>
      </right>
      <top style="medium">
        <color rgb="FFCCCCCC"/>
      </top>
      <bottom/>
      <diagonal/>
    </border>
    <border>
      <left style="medium">
        <color rgb="FFCCCCCC"/>
      </left>
      <right/>
      <top style="medium">
        <color rgb="FFCCCCCC"/>
      </top>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applyNumberFormat="0" applyFill="0" applyBorder="0" applyAlignment="0" applyProtection="0"/>
  </cellStyleXfs>
  <cellXfs count="88">
    <xf numFmtId="0" fontId="0" fillId="0" borderId="0" xfId="0"/>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3" fillId="3" borderId="1" xfId="0" applyFont="1" applyFill="1" applyBorder="1"/>
    <xf numFmtId="0" fontId="3" fillId="3" borderId="0" xfId="0" applyFont="1" applyFill="1" applyAlignment="1">
      <alignment horizontal="center" wrapText="1"/>
    </xf>
    <xf numFmtId="44" fontId="0" fillId="0" borderId="0" xfId="1" applyFont="1"/>
    <xf numFmtId="44" fontId="0" fillId="0" borderId="0" xfId="1" applyFont="1" applyAlignment="1">
      <alignment horizontal="center"/>
    </xf>
    <xf numFmtId="165" fontId="0" fillId="0" borderId="0" xfId="1" applyNumberFormat="1" applyFont="1"/>
    <xf numFmtId="165" fontId="0" fillId="4" borderId="0" xfId="1" applyNumberFormat="1" applyFont="1" applyFill="1"/>
    <xf numFmtId="0" fontId="5" fillId="0" borderId="6" xfId="0" applyFont="1" applyBorder="1"/>
    <xf numFmtId="0" fontId="2" fillId="5" borderId="6" xfId="1" applyNumberFormat="1" applyFont="1" applyFill="1" applyBorder="1"/>
    <xf numFmtId="0" fontId="5" fillId="5" borderId="6" xfId="1" applyNumberFormat="1" applyFont="1" applyFill="1" applyBorder="1"/>
    <xf numFmtId="164" fontId="0" fillId="2" borderId="1" xfId="0" applyNumberFormat="1" applyFill="1" applyBorder="1"/>
    <xf numFmtId="164" fontId="5" fillId="2" borderId="1" xfId="0" applyNumberFormat="1" applyFont="1" applyFill="1" applyBorder="1"/>
    <xf numFmtId="10" fontId="5" fillId="2" borderId="1" xfId="2" applyNumberFormat="1" applyFont="1" applyFill="1" applyBorder="1"/>
    <xf numFmtId="0" fontId="2" fillId="0" borderId="7" xfId="0" applyFont="1" applyBorder="1" applyAlignment="1">
      <alignment horizontal="centerContinuous"/>
    </xf>
    <xf numFmtId="0" fontId="0" fillId="2" borderId="7" xfId="0" applyFill="1" applyBorder="1"/>
    <xf numFmtId="0" fontId="0" fillId="2" borderId="9" xfId="0" applyFill="1" applyBorder="1"/>
    <xf numFmtId="0" fontId="0" fillId="2" borderId="7" xfId="0"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top" wrapText="1"/>
    </xf>
    <xf numFmtId="0" fontId="1" fillId="3" borderId="0" xfId="0" applyFont="1" applyFill="1" applyAlignment="1">
      <alignment horizontal="center" wrapText="1"/>
    </xf>
    <xf numFmtId="2" fontId="0" fillId="0" borderId="0" xfId="0" applyNumberFormat="1"/>
    <xf numFmtId="165" fontId="0" fillId="2" borderId="0" xfId="1" applyNumberFormat="1" applyFont="1" applyFill="1"/>
    <xf numFmtId="165" fontId="5" fillId="2" borderId="6" xfId="1" applyNumberFormat="1" applyFont="1" applyFill="1" applyBorder="1"/>
    <xf numFmtId="0" fontId="0" fillId="0" borderId="8" xfId="0" applyBorder="1" applyAlignment="1">
      <alignment horizontal="centerContinuous"/>
    </xf>
    <xf numFmtId="165" fontId="0" fillId="0" borderId="9" xfId="1" applyNumberFormat="1" applyFont="1" applyBorder="1" applyAlignment="1">
      <alignment horizontal="centerContinuous"/>
    </xf>
    <xf numFmtId="44" fontId="0" fillId="0" borderId="8" xfId="1" applyFont="1" applyBorder="1" applyAlignment="1">
      <alignment horizontal="centerContinuous"/>
    </xf>
    <xf numFmtId="44" fontId="0" fillId="0" borderId="9" xfId="1" applyFont="1" applyBorder="1" applyAlignment="1">
      <alignment horizontal="centerContinuous"/>
    </xf>
    <xf numFmtId="0" fontId="0" fillId="0" borderId="0" xfId="0" applyAlignment="1">
      <alignment wrapText="1"/>
    </xf>
    <xf numFmtId="0" fontId="0" fillId="2" borderId="0" xfId="0" applyFill="1"/>
    <xf numFmtId="0" fontId="0" fillId="0" borderId="7" xfId="0" applyBorder="1"/>
    <xf numFmtId="0" fontId="0" fillId="5" borderId="5" xfId="0" applyFill="1" applyBorder="1"/>
    <xf numFmtId="165" fontId="0" fillId="0" borderId="0" xfId="1" applyNumberFormat="1" applyFont="1" applyFill="1" applyBorder="1" applyAlignment="1">
      <alignment vertical="center" wrapText="1"/>
    </xf>
    <xf numFmtId="1" fontId="0" fillId="0" borderId="0" xfId="0" applyNumberFormat="1"/>
    <xf numFmtId="0" fontId="0" fillId="0" borderId="0" xfId="0" applyAlignment="1">
      <alignment horizontal="center" wrapText="1"/>
    </xf>
    <xf numFmtId="44" fontId="2" fillId="0" borderId="0" xfId="1" applyFont="1" applyFill="1" applyBorder="1"/>
    <xf numFmtId="0" fontId="0" fillId="0" borderId="21" xfId="0" applyBorder="1" applyAlignment="1">
      <alignment horizontal="center" wrapText="1"/>
    </xf>
    <xf numFmtId="0" fontId="0" fillId="5" borderId="22" xfId="0" applyFill="1" applyBorder="1"/>
    <xf numFmtId="0" fontId="0" fillId="0" borderId="21" xfId="0" applyBorder="1" applyAlignment="1">
      <alignment horizontal="center"/>
    </xf>
    <xf numFmtId="0" fontId="0" fillId="0" borderId="23" xfId="0" applyBorder="1" applyAlignment="1">
      <alignment horizontal="center" wrapText="1"/>
    </xf>
    <xf numFmtId="0" fontId="0" fillId="0" borderId="24" xfId="0" applyBorder="1"/>
    <xf numFmtId="164" fontId="0" fillId="2" borderId="22" xfId="0" applyNumberFormat="1" applyFill="1" applyBorder="1" applyAlignment="1">
      <alignment horizontal="center"/>
    </xf>
    <xf numFmtId="164" fontId="0" fillId="2" borderId="22" xfId="0" applyNumberFormat="1" applyFill="1" applyBorder="1"/>
    <xf numFmtId="164" fontId="2" fillId="2" borderId="22" xfId="0" applyNumberFormat="1" applyFont="1" applyFill="1" applyBorder="1"/>
    <xf numFmtId="164" fontId="2" fillId="2" borderId="22" xfId="1" applyNumberFormat="1" applyFont="1" applyFill="1" applyBorder="1"/>
    <xf numFmtId="164" fontId="2" fillId="6" borderId="25" xfId="1" applyNumberFormat="1" applyFont="1" applyFill="1" applyBorder="1"/>
    <xf numFmtId="0" fontId="2" fillId="0" borderId="0" xfId="0" applyFont="1"/>
    <xf numFmtId="166" fontId="0" fillId="0" borderId="0" xfId="0" applyNumberFormat="1"/>
    <xf numFmtId="0" fontId="0" fillId="4" borderId="0" xfId="0" applyFill="1" applyAlignment="1">
      <alignment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8" xfId="0"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xf>
    <xf numFmtId="3" fontId="0" fillId="0" borderId="0" xfId="0" applyNumberFormat="1" applyAlignment="1">
      <alignment horizontal="left"/>
    </xf>
    <xf numFmtId="0" fontId="8" fillId="0" borderId="26" xfId="0" applyFont="1" applyBorder="1" applyAlignment="1">
      <alignment horizontal="left" vertical="center"/>
    </xf>
    <xf numFmtId="0" fontId="8" fillId="8" borderId="26" xfId="0" applyFont="1" applyFill="1" applyBorder="1" applyAlignment="1">
      <alignment horizontal="left"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17"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3" borderId="18"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2" fillId="0" borderId="4" xfId="0" applyFont="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7" fillId="0" borderId="0" xfId="3" applyAlignment="1">
      <alignment horizontal="center"/>
    </xf>
    <xf numFmtId="0" fontId="0" fillId="0" borderId="0" xfId="0" applyAlignment="1">
      <alignment horizontal="center"/>
    </xf>
    <xf numFmtId="0" fontId="0" fillId="9" borderId="3" xfId="0" applyFill="1" applyBorder="1"/>
    <xf numFmtId="0" fontId="0" fillId="9" borderId="2" xfId="0" applyFill="1" applyBorder="1"/>
    <xf numFmtId="0" fontId="2" fillId="10" borderId="0" xfId="0" applyFont="1" applyFill="1"/>
  </cellXfs>
  <cellStyles count="4">
    <cellStyle name="Currency" xfId="1" builtinId="4"/>
    <cellStyle name="Hyperlink" xfId="3" builtinId="8"/>
    <cellStyle name="Normal" xfId="0" builtinId="0"/>
    <cellStyle name="Percent" xfId="2" builtinId="5"/>
  </cellStyles>
  <dxfs count="38">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alignment horizontal="center" vertical="center" textRotation="0" indent="0" justifyLastLine="0" shrinkToFit="0" readingOrder="0"/>
    </dxf>
    <dxf>
      <border outline="0">
        <bottom style="medium">
          <color rgb="FFCCCCCC"/>
        </bottom>
      </border>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border diagonalUp="0" diagonalDown="0" outline="0">
        <left style="medium">
          <color rgb="FFCCCCCC"/>
        </left>
        <right style="medium">
          <color rgb="FFCCCCCC"/>
        </right>
        <top/>
        <bottom/>
      </border>
    </dxf>
    <dxf>
      <numFmt numFmtId="0" formatCode="General"/>
      <fill>
        <patternFill patternType="solid">
          <fgColor indexed="64"/>
          <bgColor theme="9" tint="0.79998168889431442"/>
        </patternFill>
      </fill>
      <alignment horizontal="general" vertical="bottom" textRotation="0" wrapText="1" indent="0" justifyLastLine="0" shrinkToFit="0" readingOrder="0"/>
    </dxf>
    <dxf>
      <fill>
        <patternFill patternType="solid">
          <fgColor indexed="64"/>
          <bgColor theme="9" tint="0.79998168889431442"/>
        </patternFill>
      </fill>
    </dxf>
    <dxf>
      <numFmt numFmtId="164" formatCode="&quot;$&quot;#,##0.00"/>
      <fill>
        <patternFill patternType="solid">
          <fgColor indexed="64"/>
          <bgColor theme="9" tint="0.79998168889431442"/>
        </patternFill>
      </fill>
    </dxf>
    <dxf>
      <numFmt numFmtId="165" formatCode="_([$$-409]* #,##0.00_);_([$$-409]* \(#,##0.00\);_([$$-409]* &quot;-&quot;??_);_(@_)"/>
    </dxf>
    <dxf>
      <numFmt numFmtId="165" formatCode="_([$$-409]* #,##0.00_);_([$$-409]* \(#,##0.00\);_([$$-409]* &quot;-&quot;??_);_(@_)"/>
    </dxf>
    <dxf>
      <numFmt numFmtId="34" formatCode="_(&quot;$&quot;* #,##0.00_);_(&quot;$&quot;* \(#,##0.00\);_(&quot;$&quot;* &quot;-&quot;??_);_(@_)"/>
      <fill>
        <patternFill patternType="solid">
          <fgColor indexed="64"/>
          <bgColor theme="9" tint="0.79998168889431442"/>
        </patternFill>
      </fill>
    </dxf>
    <dxf>
      <numFmt numFmtId="164" formatCode="&quot;$&quot;#,##0.00"/>
    </dxf>
    <dxf>
      <numFmt numFmtId="165" formatCode="_([$$-409]* #,##0.00_);_([$$-409]* \(#,##0.00\);_([$$-409]* &quot;-&quot;??_);_(@_)"/>
      <fill>
        <patternFill patternType="solid">
          <fgColor indexed="64"/>
          <bgColor theme="9" tint="0.79998168889431442"/>
        </patternFill>
      </fill>
    </dxf>
    <dxf>
      <fill>
        <patternFill patternType="solid">
          <fgColor indexed="64"/>
          <bgColor theme="9" tint="0.79998168889431442"/>
        </patternFill>
      </fill>
    </dxf>
    <dxf>
      <font>
        <b/>
        <i val="0"/>
        <strike val="0"/>
        <condense val="0"/>
        <extend val="0"/>
        <outline val="0"/>
        <shadow val="0"/>
        <u val="none"/>
        <vertAlign val="baseline"/>
        <sz val="11"/>
        <color theme="0"/>
        <name val="Muli"/>
        <scheme val="none"/>
      </font>
      <fill>
        <patternFill patternType="solid">
          <fgColor indexed="64"/>
          <bgColor theme="2" tint="-0.249977111117893"/>
        </patternFill>
      </fill>
      <alignment horizontal="center" vertical="bottom" textRotation="0" wrapText="1" indent="0" justifyLastLine="0" shrinkToFit="0" readingOrder="0"/>
    </dxf>
    <dxf>
      <numFmt numFmtId="0" formatCode="General"/>
      <fill>
        <patternFill patternType="solid">
          <fgColor indexed="64"/>
          <bgColor theme="9" tint="0.79998168889431442"/>
        </patternFill>
      </fill>
      <alignment horizontal="general" vertical="bottom" textRotation="0" wrapText="1" indent="0" justifyLastLine="0" shrinkToFit="0" readingOrder="0"/>
    </dxf>
    <dxf>
      <fill>
        <patternFill patternType="solid">
          <fgColor indexed="64"/>
          <bgColor theme="9" tint="0.79998168889431442"/>
        </patternFill>
      </fill>
    </dxf>
    <dxf>
      <numFmt numFmtId="164" formatCode="&quot;$&quot;#,##0.00"/>
      <fill>
        <patternFill patternType="solid">
          <fgColor indexed="64"/>
          <bgColor theme="9" tint="0.79998168889431442"/>
        </patternFill>
      </fill>
    </dxf>
    <dxf>
      <numFmt numFmtId="165" formatCode="_([$$-409]* #,##0.00_);_([$$-409]* \(#,##0.00\);_([$$-409]* &quot;-&quot;??_);_(@_)"/>
    </dxf>
    <dxf>
      <numFmt numFmtId="165" formatCode="_([$$-409]* #,##0.00_);_([$$-409]* \(#,##0.00\);_([$$-409]* &quot;-&quot;??_);_(@_)"/>
    </dxf>
    <dxf>
      <numFmt numFmtId="34" formatCode="_(&quot;$&quot;* #,##0.00_);_(&quot;$&quot;* \(#,##0.00\);_(&quot;$&quot;* &quot;-&quot;??_);_(@_)"/>
      <fill>
        <patternFill patternType="solid">
          <fgColor indexed="64"/>
          <bgColor theme="9" tint="0.79998168889431442"/>
        </patternFill>
      </fill>
    </dxf>
    <dxf>
      <numFmt numFmtId="164" formatCode="&quot;$&quot;#,##0.00"/>
    </dxf>
    <dxf>
      <numFmt numFmtId="165" formatCode="_([$$-409]* #,##0.00_);_([$$-409]* \(#,##0.00\);_([$$-409]* &quot;-&quot;??_);_(@_)"/>
      <fill>
        <patternFill patternType="solid">
          <fgColor indexed="64"/>
          <bgColor theme="9" tint="0.79998168889431442"/>
        </patternFill>
      </fill>
    </dxf>
    <dxf>
      <fill>
        <patternFill patternType="solid">
          <fgColor indexed="64"/>
          <bgColor theme="9" tint="0.79998168889431442"/>
        </patternFill>
      </fill>
    </dxf>
    <dxf>
      <font>
        <b/>
        <i val="0"/>
        <strike val="0"/>
        <condense val="0"/>
        <extend val="0"/>
        <outline val="0"/>
        <shadow val="0"/>
        <u val="none"/>
        <vertAlign val="baseline"/>
        <sz val="11"/>
        <color theme="0"/>
        <name val="Muli"/>
        <scheme val="none"/>
      </font>
      <fill>
        <patternFill patternType="solid">
          <fgColor indexed="64"/>
          <bgColor theme="2" tint="-0.249977111117893"/>
        </patternFill>
      </fill>
      <alignment horizontal="center" vertical="bottom" textRotation="0" wrapText="1" indent="0" justifyLastLine="0" shrinkToFit="0" readingOrder="0"/>
    </dxf>
    <dxf>
      <numFmt numFmtId="0" formatCode="General"/>
      <fill>
        <patternFill patternType="solid">
          <fgColor indexed="64"/>
          <bgColor theme="9" tint="0.79998168889431442"/>
        </patternFill>
      </fill>
      <alignment horizontal="general" vertical="bottom" textRotation="0" wrapText="1" indent="0" justifyLastLine="0" shrinkToFit="0" readingOrder="0"/>
    </dxf>
    <dxf>
      <fill>
        <patternFill patternType="solid">
          <fgColor indexed="64"/>
          <bgColor theme="9" tint="0.79998168889431442"/>
        </patternFill>
      </fill>
    </dxf>
    <dxf>
      <numFmt numFmtId="164" formatCode="&quot;$&quot;#,##0.00"/>
      <fill>
        <patternFill patternType="solid">
          <fgColor indexed="64"/>
          <bgColor theme="9" tint="0.79998168889431442"/>
        </patternFill>
      </fill>
    </dxf>
    <dxf>
      <numFmt numFmtId="165" formatCode="_([$$-409]* #,##0.00_);_([$$-409]* \(#,##0.00\);_([$$-409]* &quot;-&quot;??_);_(@_)"/>
    </dxf>
    <dxf>
      <numFmt numFmtId="165" formatCode="_([$$-409]* #,##0.00_);_([$$-409]* \(#,##0.00\);_([$$-409]* &quot;-&quot;??_);_(@_)"/>
    </dxf>
    <dxf>
      <numFmt numFmtId="34" formatCode="_(&quot;$&quot;* #,##0.00_);_(&quot;$&quot;* \(#,##0.00\);_(&quot;$&quot;* &quot;-&quot;??_);_(@_)"/>
      <fill>
        <patternFill patternType="solid">
          <fgColor indexed="64"/>
          <bgColor theme="9" tint="0.79998168889431442"/>
        </patternFill>
      </fill>
    </dxf>
    <dxf>
      <numFmt numFmtId="164" formatCode="&quot;$&quot;#,##0.00"/>
    </dxf>
    <dxf>
      <numFmt numFmtId="165" formatCode="_([$$-409]* #,##0.00_);_([$$-409]* \(#,##0.00\);_([$$-409]* &quot;-&quot;??_);_(@_)"/>
      <fill>
        <patternFill patternType="solid">
          <fgColor indexed="64"/>
          <bgColor theme="9" tint="0.79998168889431442"/>
        </patternFill>
      </fill>
    </dxf>
    <dxf>
      <fill>
        <patternFill patternType="solid">
          <fgColor indexed="64"/>
          <bgColor theme="9" tint="0.79998168889431442"/>
        </patternFill>
      </fill>
    </dxf>
    <dxf>
      <font>
        <b/>
        <i val="0"/>
        <strike val="0"/>
        <condense val="0"/>
        <extend val="0"/>
        <outline val="0"/>
        <shadow val="0"/>
        <u val="none"/>
        <vertAlign val="baseline"/>
        <sz val="11"/>
        <color theme="0"/>
        <name val="Muli"/>
        <scheme val="none"/>
      </font>
      <fill>
        <patternFill patternType="solid">
          <fgColor indexed="64"/>
          <bgColor theme="2" tint="-0.249977111117893"/>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Clinical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6"/>
              </a:solidFill>
              <a:ln>
                <a:noFill/>
              </a:ln>
              <a:effectLst/>
            </c:spPr>
            <c:extLst>
              <c:ext xmlns:c16="http://schemas.microsoft.com/office/drawing/2014/chart" uri="{C3380CC4-5D6E-409C-BE32-E72D297353CC}">
                <c16:uniqueId val="{00000001-9DA6-470A-9FD5-9413146077D4}"/>
              </c:ext>
            </c:extLst>
          </c:dPt>
          <c:val>
            <c:numRef>
              <c:f>(Calculator!$D$28,Calculator!$D$53)</c:f>
              <c:numCache>
                <c:formatCode>General</c:formatCode>
                <c:ptCount val="2"/>
                <c:pt idx="0">
                  <c:v>15</c:v>
                </c:pt>
                <c:pt idx="1">
                  <c:v>10</c:v>
                </c:pt>
              </c:numCache>
            </c:numRef>
          </c:val>
          <c:extLst>
            <c:ext xmlns:c16="http://schemas.microsoft.com/office/drawing/2014/chart" uri="{C3380CC4-5D6E-409C-BE32-E72D297353CC}">
              <c16:uniqueId val="{00000000-9DA6-470A-9FD5-9413146077D4}"/>
            </c:ext>
          </c:extLst>
        </c:ser>
        <c:dLbls>
          <c:showLegendKey val="0"/>
          <c:showVal val="0"/>
          <c:showCatName val="0"/>
          <c:showSerName val="0"/>
          <c:showPercent val="0"/>
          <c:showBubbleSize val="0"/>
        </c:dLbls>
        <c:gapWidth val="219"/>
        <c:overlap val="-27"/>
        <c:axId val="229993312"/>
        <c:axId val="229970752"/>
      </c:barChart>
      <c:catAx>
        <c:axId val="2299933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Pre Intervention vs Post Intervention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970752"/>
        <c:crosses val="autoZero"/>
        <c:auto val="1"/>
        <c:lblAlgn val="ctr"/>
        <c:lblOffset val="100"/>
        <c:noMultiLvlLbl val="0"/>
      </c:catAx>
      <c:valAx>
        <c:axId val="229970752"/>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99933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Financial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6"/>
              </a:solidFill>
              <a:ln>
                <a:noFill/>
              </a:ln>
              <a:effectLst/>
            </c:spPr>
            <c:extLst>
              <c:ext xmlns:c16="http://schemas.microsoft.com/office/drawing/2014/chart" uri="{C3380CC4-5D6E-409C-BE32-E72D297353CC}">
                <c16:uniqueId val="{00000001-9995-45C7-8196-CF6F3808F41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(Calculator!$G$28,Calculator!$G$53)</c:f>
              <c:numCache>
                <c:formatCode>_([$$-409]* #,##0.00_);_([$$-409]* \(#,##0.00\);_([$$-409]* "-"??_);_(@_)</c:formatCode>
                <c:ptCount val="2"/>
                <c:pt idx="0">
                  <c:v>206895</c:v>
                </c:pt>
                <c:pt idx="1">
                  <c:v>137930</c:v>
                </c:pt>
              </c:numCache>
            </c:numRef>
          </c:val>
          <c:extLst>
            <c:ext xmlns:c16="http://schemas.microsoft.com/office/drawing/2014/chart" uri="{C3380CC4-5D6E-409C-BE32-E72D297353CC}">
              <c16:uniqueId val="{00000000-9995-45C7-8196-CF6F3808F41E}"/>
            </c:ext>
          </c:extLst>
        </c:ser>
        <c:dLbls>
          <c:dLblPos val="outEnd"/>
          <c:showLegendKey val="0"/>
          <c:showVal val="1"/>
          <c:showCatName val="0"/>
          <c:showSerName val="0"/>
          <c:showPercent val="0"/>
          <c:showBubbleSize val="0"/>
        </c:dLbls>
        <c:gapWidth val="219"/>
        <c:overlap val="-27"/>
        <c:axId val="780344368"/>
        <c:axId val="780341968"/>
      </c:barChart>
      <c:catAx>
        <c:axId val="780344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of Inaction vs Cost of Problem after Intervention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341968"/>
        <c:crosses val="autoZero"/>
        <c:auto val="1"/>
        <c:lblAlgn val="ctr"/>
        <c:lblOffset val="100"/>
        <c:noMultiLvlLbl val="0"/>
      </c:catAx>
      <c:valAx>
        <c:axId val="780341968"/>
        <c:scaling>
          <c:orientation val="minMax"/>
        </c:scaling>
        <c:delete val="0"/>
        <c:axPos val="l"/>
        <c:majorGridlines>
          <c:spPr>
            <a:ln w="9525" cap="flat" cmpd="sng" algn="ctr">
              <a:solidFill>
                <a:schemeClr val="tx1">
                  <a:lumMod val="15000"/>
                  <a:lumOff val="85000"/>
                </a:schemeClr>
              </a:solidFill>
              <a:round/>
            </a:ln>
            <a:effectLst/>
          </c:spPr>
        </c:majorGridlines>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409]* #,##0.00_);_([$$-409]* \(#,##0.00\);_([$$-409]*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0344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healthcareagentsofchange.com/"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438150</xdr:colOff>
      <xdr:row>0</xdr:row>
      <xdr:rowOff>161925</xdr:rowOff>
    </xdr:from>
    <xdr:to>
      <xdr:col>8</xdr:col>
      <xdr:colOff>752475</xdr:colOff>
      <xdr:row>27</xdr:row>
      <xdr:rowOff>9525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999782B4-3543-5B55-7CCD-C00C404B7507}"/>
            </a:ext>
          </a:extLst>
        </xdr:cNvPr>
        <xdr:cNvSpPr txBox="1"/>
      </xdr:nvSpPr>
      <xdr:spPr>
        <a:xfrm>
          <a:off x="438150" y="161925"/>
          <a:ext cx="6410325" cy="550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Healthcare</a:t>
          </a:r>
          <a:r>
            <a:rPr lang="en-US" b="1" baseline="0"/>
            <a:t> Agents of Change </a:t>
          </a:r>
          <a:r>
            <a:rPr lang="en-US" b="1"/>
            <a:t>Return on Investment (ROI) Calculator</a:t>
          </a:r>
          <a:endParaRPr lang="en-US"/>
        </a:p>
        <a:p>
          <a:endParaRPr lang="en-US" b="1"/>
        </a:p>
        <a:p>
          <a:r>
            <a:rPr lang="en-US" b="1"/>
            <a:t>Purpose</a:t>
          </a:r>
        </a:p>
        <a:p>
          <a:r>
            <a:rPr lang="en-US"/>
            <a:t>This tool is designed to help clinical and operational leaders estimate the financial impact of quality improvement and innovation projects.</a:t>
          </a:r>
        </a:p>
        <a:p>
          <a:endParaRPr lang="en-US" b="1"/>
        </a:p>
        <a:p>
          <a:r>
            <a:rPr lang="en-US" sz="1100" b="1">
              <a:solidFill>
                <a:schemeClr val="dk1"/>
              </a:solidFill>
              <a:effectLst/>
              <a:latin typeface="+mn-lt"/>
              <a:ea typeface="+mn-ea"/>
              <a:cs typeface="+mn-cs"/>
            </a:rPr>
            <a:t>Methodology</a:t>
          </a:r>
        </a:p>
        <a:p>
          <a:r>
            <a:rPr lang="en-US" sz="1100">
              <a:solidFill>
                <a:schemeClr val="dk1"/>
              </a:solidFill>
              <a:effectLst/>
              <a:latin typeface="+mn-lt"/>
              <a:ea typeface="+mn-ea"/>
              <a:cs typeface="+mn-cs"/>
            </a:rPr>
            <a:t>This calculator uses a structured approach based on three phases:</a:t>
          </a:r>
          <a:endParaRPr lang="en-US">
            <a:effectLst/>
          </a:endParaRPr>
        </a:p>
        <a:p>
          <a:r>
            <a:rPr lang="en-US" sz="1100" b="1">
              <a:solidFill>
                <a:schemeClr val="dk1"/>
              </a:solidFill>
              <a:effectLst/>
              <a:latin typeface="+mn-lt"/>
              <a:ea typeface="+mn-ea"/>
              <a:cs typeface="+mn-cs"/>
            </a:rPr>
            <a:t>1. Baseline Problem:</a:t>
          </a:r>
          <a:r>
            <a:rPr lang="en-US" sz="1100">
              <a:solidFill>
                <a:schemeClr val="dk1"/>
              </a:solidFill>
              <a:effectLst/>
              <a:latin typeface="+mn-lt"/>
              <a:ea typeface="+mn-ea"/>
              <a:cs typeface="+mn-cs"/>
            </a:rPr>
            <a:t> Quantifying the 'current state' and total cost of the problem </a:t>
          </a:r>
          <a:r>
            <a:rPr lang="en-US" sz="1100" i="1">
              <a:solidFill>
                <a:schemeClr val="dk1"/>
              </a:solidFill>
              <a:effectLst/>
              <a:latin typeface="+mn-lt"/>
              <a:ea typeface="+mn-ea"/>
              <a:cs typeface="+mn-cs"/>
            </a:rPr>
            <a:t>before</a:t>
          </a:r>
          <a:r>
            <a:rPr lang="en-US" sz="1100">
              <a:solidFill>
                <a:schemeClr val="dk1"/>
              </a:solidFill>
              <a:effectLst/>
              <a:latin typeface="+mn-lt"/>
              <a:ea typeface="+mn-ea"/>
              <a:cs typeface="+mn-cs"/>
            </a:rPr>
            <a:t> your intervention.</a:t>
          </a:r>
          <a:endParaRPr lang="en-US">
            <a:effectLst/>
          </a:endParaRPr>
        </a:p>
        <a:p>
          <a:r>
            <a:rPr lang="en-US" sz="1100" b="1">
              <a:solidFill>
                <a:schemeClr val="dk1"/>
              </a:solidFill>
              <a:effectLst/>
              <a:latin typeface="+mn-lt"/>
              <a:ea typeface="+mn-ea"/>
              <a:cs typeface="+mn-cs"/>
            </a:rPr>
            <a:t>2. Intervention:</a:t>
          </a:r>
          <a:r>
            <a:rPr lang="en-US" sz="1100">
              <a:solidFill>
                <a:schemeClr val="dk1"/>
              </a:solidFill>
              <a:effectLst/>
              <a:latin typeface="+mn-lt"/>
              <a:ea typeface="+mn-ea"/>
              <a:cs typeface="+mn-cs"/>
            </a:rPr>
            <a:t> Identifying all costs associated with implementing your solution (e.g., staff time, supplies, training).</a:t>
          </a:r>
          <a:endParaRPr lang="en-US">
            <a:effectLst/>
          </a:endParaRPr>
        </a:p>
        <a:p>
          <a:r>
            <a:rPr lang="en-US" sz="1100" b="1">
              <a:solidFill>
                <a:schemeClr val="dk1"/>
              </a:solidFill>
              <a:effectLst/>
              <a:latin typeface="+mn-lt"/>
              <a:ea typeface="+mn-ea"/>
              <a:cs typeface="+mn-cs"/>
            </a:rPr>
            <a:t>3. Outcome:</a:t>
          </a:r>
          <a:r>
            <a:rPr lang="en-US" sz="1100">
              <a:solidFill>
                <a:schemeClr val="dk1"/>
              </a:solidFill>
              <a:effectLst/>
              <a:latin typeface="+mn-lt"/>
              <a:ea typeface="+mn-ea"/>
              <a:cs typeface="+mn-cs"/>
            </a:rPr>
            <a:t> Measuring the new 'post-intervention' state and calculating the financial savings.</a:t>
          </a:r>
          <a:endParaRPr lang="en-US">
            <a:effectLst/>
          </a:endParaRPr>
        </a:p>
        <a:p>
          <a:endParaRPr lang="en-US" b="1"/>
        </a:p>
        <a:p>
          <a:r>
            <a:rPr lang="en-US" b="1"/>
            <a:t>How to Use</a:t>
          </a:r>
          <a:endParaRPr lang="en-US"/>
        </a:p>
        <a:p>
          <a:r>
            <a:rPr lang="en-US"/>
            <a:t>1.  Navigate</a:t>
          </a:r>
          <a:r>
            <a:rPr lang="en-US" baseline="0"/>
            <a:t> to the "Calculator" tab. </a:t>
          </a:r>
          <a:endParaRPr lang="en-US"/>
        </a:p>
        <a:p>
          <a:r>
            <a:rPr lang="en-US"/>
            <a:t>2. Fill in </a:t>
          </a:r>
          <a:r>
            <a:rPr lang="en-US" i="1"/>
            <a:t>only </a:t>
          </a:r>
          <a:r>
            <a:rPr lang="en-US" i="0"/>
            <a:t>the blue and white-highlighted cells. All other cells (green) will calculate automatically. </a:t>
          </a:r>
          <a:endParaRPr lang="en-US"/>
        </a:p>
        <a:p>
          <a:r>
            <a:rPr lang="en-US"/>
            <a:t>3. Use the pop-up guides on each cell for specific instructions. </a:t>
          </a:r>
        </a:p>
        <a:p>
          <a:r>
            <a:rPr lang="en-US"/>
            <a:t>4. Your estimated ROI and key outcomes will auto-populate in the "ROI</a:t>
          </a:r>
          <a:r>
            <a:rPr lang="en-US" baseline="0"/>
            <a:t> D</a:t>
          </a:r>
          <a:r>
            <a:rPr lang="en-US"/>
            <a:t>ashboard".</a:t>
          </a:r>
        </a:p>
        <a:p>
          <a:r>
            <a:rPr lang="en-US"/>
            <a:t>5. Hover over labels for a detailed</a:t>
          </a:r>
          <a:r>
            <a:rPr lang="en-US" baseline="0"/>
            <a:t> definition. </a:t>
          </a:r>
          <a:endParaRPr lang="en-US"/>
        </a:p>
        <a:p>
          <a:endParaRPr lang="en-US" b="1"/>
        </a:p>
        <a:p>
          <a:endParaRPr lang="en-US" b="1"/>
        </a:p>
        <a:p>
          <a:r>
            <a:rPr lang="en-US" b="1"/>
            <a:t>For more information, visit our </a:t>
          </a:r>
          <a:r>
            <a:rPr lang="en-US" b="1" u="sng"/>
            <a:t>resource page.</a:t>
          </a:r>
          <a:r>
            <a:rPr lang="en-US" b="1" u="sng" baseline="0"/>
            <a:t> </a:t>
          </a:r>
          <a:endParaRPr lang="en-US" u="sng"/>
        </a:p>
        <a:p>
          <a:endParaRPr lang="en-US" sz="1100"/>
        </a:p>
      </xdr:txBody>
    </xdr:sp>
    <xdr:clientData/>
  </xdr:twoCellAnchor>
  <xdr:twoCellAnchor editAs="oneCell">
    <xdr:from>
      <xdr:col>9</xdr:col>
      <xdr:colOff>133350</xdr:colOff>
      <xdr:row>0</xdr:row>
      <xdr:rowOff>133350</xdr:rowOff>
    </xdr:from>
    <xdr:to>
      <xdr:col>12</xdr:col>
      <xdr:colOff>685800</xdr:colOff>
      <xdr:row>14</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2F11F422-F600-419D-9348-D38D2801B8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91350" y="133350"/>
          <a:ext cx="2838450" cy="2838450"/>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1250950</xdr:colOff>
      <xdr:row>15</xdr:row>
      <xdr:rowOff>114299</xdr:rowOff>
    </xdr:from>
    <xdr:to>
      <xdr:col>18</xdr:col>
      <xdr:colOff>583142</xdr:colOff>
      <xdr:row>43</xdr:row>
      <xdr:rowOff>47626</xdr:rowOff>
    </xdr:to>
    <xdr:sp macro="" textlink="">
      <xdr:nvSpPr>
        <xdr:cNvPr id="2" name="TextBox 1">
          <a:extLst>
            <a:ext uri="{FF2B5EF4-FFF2-40B4-BE49-F238E27FC236}">
              <a16:creationId xmlns:a16="http://schemas.microsoft.com/office/drawing/2014/main" id="{5FFD820F-DD6E-FB3D-894C-169ACAA21EC2}"/>
            </a:ext>
          </a:extLst>
        </xdr:cNvPr>
        <xdr:cNvSpPr txBox="1"/>
      </xdr:nvSpPr>
      <xdr:spPr>
        <a:xfrm>
          <a:off x="16967200" y="6181724"/>
          <a:ext cx="8038042" cy="7353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 Hypothetical CAUTI Reduction Example</a:t>
          </a:r>
        </a:p>
        <a:p>
          <a:r>
            <a:rPr lang="en-US" sz="1100">
              <a:solidFill>
                <a:schemeClr val="dk1"/>
              </a:solidFill>
              <a:effectLst/>
              <a:latin typeface="+mn-lt"/>
              <a:ea typeface="+mn-ea"/>
              <a:cs typeface="+mn-cs"/>
            </a:rPr>
            <a:t>This section provides a hypothetical example of how to frame a QI project, define its assumptions, and validate its impact.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Why (The Problem):</a:t>
          </a:r>
        </a:p>
        <a:p>
          <a:r>
            <a:rPr lang="en-US" sz="1100">
              <a:solidFill>
                <a:schemeClr val="dk1"/>
              </a:solidFill>
              <a:effectLst/>
              <a:latin typeface="+mn-lt"/>
              <a:ea typeface="+mn-ea"/>
              <a:cs typeface="+mn-cs"/>
            </a:rPr>
            <a:t>Catheter-Associated Urinary Tract Infections (CAUTIs) are a significant source of patient harm and financial burden. They are one of the most common healthcare-associated infections (HAIs) and lead to increased patient morbidity, prolonged hospital stays, and excess healthcare costs. Many of these costs are not reimbursed by CMS, placing the financial burden directly on the health system. Beyond the financial impact, CAUTIs cause significant patient discomfort and harm, undermining our core mission. This project aims to reduce patient harm and demonstrate the financial benefit of investing in evidence-based prevention.</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Assumption (The Financials):</a:t>
          </a:r>
        </a:p>
        <a:p>
          <a:r>
            <a:rPr lang="en-US" sz="1100">
              <a:solidFill>
                <a:schemeClr val="dk1"/>
              </a:solidFill>
              <a:effectLst/>
              <a:latin typeface="+mn-lt"/>
              <a:ea typeface="+mn-ea"/>
              <a:cs typeface="+mn-cs"/>
            </a:rPr>
            <a:t>This calculator uses several key assumptions that you must replace with your own organization's data. For this hypothetical example, we assume:</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Cost per Event:</a:t>
          </a:r>
          <a:r>
            <a:rPr lang="en-US" sz="1100">
              <a:solidFill>
                <a:schemeClr val="dk1"/>
              </a:solidFill>
              <a:effectLst/>
              <a:latin typeface="+mn-lt"/>
              <a:ea typeface="+mn-ea"/>
              <a:cs typeface="+mn-cs"/>
            </a:rPr>
            <a:t> The average cost for a single, hospital-acquired CAUTI is </a:t>
          </a:r>
          <a:r>
            <a:rPr lang="en-US" sz="1100" b="1">
              <a:solidFill>
                <a:schemeClr val="dk1"/>
              </a:solidFill>
              <a:effectLst/>
              <a:latin typeface="+mn-lt"/>
              <a:ea typeface="+mn-ea"/>
              <a:cs typeface="+mn-cs"/>
            </a:rPr>
            <a:t>$13,793</a:t>
          </a:r>
          <a:r>
            <a:rPr lang="en-US" sz="1100">
              <a:solidFill>
                <a:schemeClr val="dk1"/>
              </a:solidFill>
              <a:effectLst/>
              <a:latin typeface="+mn-lt"/>
              <a:ea typeface="+mn-ea"/>
              <a:cs typeface="+mn-cs"/>
            </a:rPr>
            <a:t>. (This is the "Cost of Inaction" per event).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Baseline Event Rate:</a:t>
          </a:r>
          <a:r>
            <a:rPr lang="en-US" sz="1100">
              <a:solidFill>
                <a:schemeClr val="dk1"/>
              </a:solidFill>
              <a:effectLst/>
              <a:latin typeface="+mn-lt"/>
              <a:ea typeface="+mn-ea"/>
              <a:cs typeface="+mn-cs"/>
            </a:rPr>
            <a:t> The unit averaged </a:t>
          </a:r>
          <a:r>
            <a:rPr lang="en-US" sz="1100" b="1">
              <a:solidFill>
                <a:schemeClr val="dk1"/>
              </a:solidFill>
              <a:effectLst/>
              <a:latin typeface="+mn-lt"/>
              <a:ea typeface="+mn-ea"/>
              <a:cs typeface="+mn-cs"/>
            </a:rPr>
            <a:t>15 CAUTIs</a:t>
          </a:r>
          <a:r>
            <a:rPr lang="en-US" sz="1100">
              <a:solidFill>
                <a:schemeClr val="dk1"/>
              </a:solidFill>
              <a:effectLst/>
              <a:latin typeface="+mn-lt"/>
              <a:ea typeface="+mn-ea"/>
              <a:cs typeface="+mn-cs"/>
            </a:rPr>
            <a:t> in the 12-month baseline period.</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Intervention Cost:</a:t>
          </a:r>
          <a:r>
            <a:rPr lang="en-US" sz="1100">
              <a:solidFill>
                <a:schemeClr val="dk1"/>
              </a:solidFill>
              <a:effectLst/>
              <a:latin typeface="+mn-lt"/>
              <a:ea typeface="+mn-ea"/>
              <a:cs typeface="+mn-cs"/>
            </a:rPr>
            <a:t> The intervention (e.g., new securement devices and a nurse-driven removal protocol) has a total implementation cost (including training and supplies) of </a:t>
          </a:r>
          <a:r>
            <a:rPr lang="en-US" sz="1100" b="1">
              <a:solidFill>
                <a:schemeClr val="dk1"/>
              </a:solidFill>
              <a:effectLst/>
              <a:latin typeface="+mn-lt"/>
              <a:ea typeface="+mn-ea"/>
              <a:cs typeface="+mn-cs"/>
            </a:rPr>
            <a:t>$24,859.39</a:t>
          </a:r>
          <a:r>
            <a:rPr lang="en-US" sz="1100">
              <a:solidFill>
                <a:schemeClr val="dk1"/>
              </a:solidFill>
              <a:effectLst/>
              <a:latin typeface="+mn-lt"/>
              <a:ea typeface="+mn-ea"/>
              <a:cs typeface="+mn-cs"/>
            </a:rPr>
            <a: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Outcome Event Rate:</a:t>
          </a:r>
          <a:r>
            <a:rPr lang="en-US" sz="1100">
              <a:solidFill>
                <a:schemeClr val="dk1"/>
              </a:solidFill>
              <a:effectLst/>
              <a:latin typeface="+mn-lt"/>
              <a:ea typeface="+mn-ea"/>
              <a:cs typeface="+mn-cs"/>
            </a:rPr>
            <a:t> In the 12 months after implementation, the unit had </a:t>
          </a:r>
          <a:r>
            <a:rPr lang="en-US" sz="1100" b="1">
              <a:solidFill>
                <a:schemeClr val="dk1"/>
              </a:solidFill>
              <a:effectLst/>
              <a:latin typeface="+mn-lt"/>
              <a:ea typeface="+mn-ea"/>
              <a:cs typeface="+mn-cs"/>
            </a:rPr>
            <a:t>10 CAUTIs</a:t>
          </a:r>
          <a:r>
            <a:rPr lang="en-US" sz="1100">
              <a:solidFill>
                <a:schemeClr val="dk1"/>
              </a:solidFill>
              <a:effectLst/>
              <a:latin typeface="+mn-lt"/>
              <a:ea typeface="+mn-ea"/>
              <a:cs typeface="+mn-cs"/>
            </a:rPr>
            <a:t> (a reduction of 5).</a:t>
          </a:r>
        </a:p>
        <a:p>
          <a:r>
            <a:rPr lang="en-US" sz="1100">
              <a:solidFill>
                <a:schemeClr val="dk1"/>
              </a:solidFill>
              <a:effectLst/>
              <a:latin typeface="+mn-lt"/>
              <a:ea typeface="+mn-ea"/>
              <a:cs typeface="+mn-cs"/>
            </a:rPr>
            <a:t>Roles (The Intervention Costs):</a:t>
          </a:r>
        </a:p>
        <a:p>
          <a:r>
            <a:rPr lang="en-US" sz="1100">
              <a:solidFill>
                <a:schemeClr val="dk1"/>
              </a:solidFill>
              <a:effectLst/>
              <a:latin typeface="+mn-lt"/>
              <a:ea typeface="+mn-ea"/>
              <a:cs typeface="+mn-cs"/>
            </a:rPr>
            <a:t>Salaries and hourly wages used to calculate project costs (e.g., training time, project management time) should be based on your organization's data. As a placeholder, this calculator uses an average provided by HR, which includes a 28% overage for benefits.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Extrapolation (The Savings):</a:t>
          </a:r>
        </a:p>
        <a:p>
          <a:r>
            <a:rPr lang="en-US" sz="1100">
              <a:solidFill>
                <a:schemeClr val="dk1"/>
              </a:solidFill>
              <a:effectLst/>
              <a:latin typeface="+mn-lt"/>
              <a:ea typeface="+mn-ea"/>
              <a:cs typeface="+mn-cs"/>
            </a:rPr>
            <a:t>This calculator annualizes savings. It compares the total "Cost of Inaction" from your 12-month baseline period to the total cost from your 12-month outcome period. The "Overall Gain (Net Savings)" is the annualized savings after subtracting the one-time (or ongoing) costs of the intervention.</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Change Management and Improvement Science:</a:t>
          </a:r>
        </a:p>
        <a:p>
          <a:r>
            <a:rPr lang="en-US" sz="1100">
              <a:solidFill>
                <a:schemeClr val="dk1"/>
              </a:solidFill>
              <a:effectLst/>
              <a:latin typeface="+mn-lt"/>
              <a:ea typeface="+mn-ea"/>
              <a:cs typeface="+mn-cs"/>
            </a:rPr>
            <a:t>This is the process of guiding organizational change to fruition, from conception and preparation, through implementation and resolution. Successful change involves a detailed plan, communication strategy, and anticipation and mitigation of potential barriers.</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Statistical Validation (Did Our Intervention Work?):</a:t>
          </a:r>
        </a:p>
        <a:p>
          <a:r>
            <a:rPr lang="en-US" sz="1100">
              <a:solidFill>
                <a:schemeClr val="dk1"/>
              </a:solidFill>
              <a:effectLst/>
              <a:latin typeface="+mn-lt"/>
              <a:ea typeface="+mn-ea"/>
              <a:cs typeface="+mn-cs"/>
            </a:rPr>
            <a:t>How do we know our 5-CAUTI reduction was due to our intervention and not just random chance? We can use a Chi-square statistic to determine the probability that the data occurred by chance (the p-value).</a:t>
          </a:r>
        </a:p>
        <a:p>
          <a:r>
            <a:rPr lang="en-US" sz="1100">
              <a:solidFill>
                <a:schemeClr val="dk1"/>
              </a:solidFill>
              <a:effectLst/>
              <a:latin typeface="+mn-lt"/>
              <a:ea typeface="+mn-ea"/>
              <a:cs typeface="+mn-cs"/>
            </a:rPr>
            <a:t>Let's assume our unit had 1,000 catheterized patients in the baseline (control) period and 1,000 in the intervention period. See the next worksheet for directions on how to calculate this</a:t>
          </a:r>
          <a:r>
            <a:rPr lang="en-US" sz="1100" baseline="0">
              <a:solidFill>
                <a:schemeClr val="dk1"/>
              </a:solidFill>
              <a:effectLst/>
              <a:latin typeface="+mn-lt"/>
              <a:ea typeface="+mn-ea"/>
              <a:cs typeface="+mn-cs"/>
            </a:rPr>
            <a:t> value.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pPr algn="ctr"/>
          <a:endParaRPr lang="en-US" sz="1100" b="1"/>
        </a:p>
      </xdr:txBody>
    </xdr:sp>
    <xdr:clientData/>
  </xdr:twoCellAnchor>
  <xdr:twoCellAnchor>
    <xdr:from>
      <xdr:col>4</xdr:col>
      <xdr:colOff>676275</xdr:colOff>
      <xdr:row>7</xdr:row>
      <xdr:rowOff>157162</xdr:rowOff>
    </xdr:from>
    <xdr:to>
      <xdr:col>7</xdr:col>
      <xdr:colOff>1400175</xdr:colOff>
      <xdr:row>12</xdr:row>
      <xdr:rowOff>561975</xdr:rowOff>
    </xdr:to>
    <xdr:graphicFrame macro="">
      <xdr:nvGraphicFramePr>
        <xdr:cNvPr id="5" name="Chart 4">
          <a:extLst>
            <a:ext uri="{FF2B5EF4-FFF2-40B4-BE49-F238E27FC236}">
              <a16:creationId xmlns:a16="http://schemas.microsoft.com/office/drawing/2014/main" id="{04D103EB-BC93-A18C-5D69-5D0F256C73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1557336</xdr:colOff>
      <xdr:row>7</xdr:row>
      <xdr:rowOff>166686</xdr:rowOff>
    </xdr:from>
    <xdr:to>
      <xdr:col>10</xdr:col>
      <xdr:colOff>2105024</xdr:colOff>
      <xdr:row>12</xdr:row>
      <xdr:rowOff>542924</xdr:rowOff>
    </xdr:to>
    <xdr:graphicFrame macro="">
      <xdr:nvGraphicFramePr>
        <xdr:cNvPr id="6" name="Chart 5">
          <a:extLst>
            <a:ext uri="{FF2B5EF4-FFF2-40B4-BE49-F238E27FC236}">
              <a16:creationId xmlns:a16="http://schemas.microsoft.com/office/drawing/2014/main" id="{4BB7A856-5B94-B3FC-9373-2D4BB6AAE5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333376</xdr:colOff>
      <xdr:row>9</xdr:row>
      <xdr:rowOff>123825</xdr:rowOff>
    </xdr:from>
    <xdr:to>
      <xdr:col>10</xdr:col>
      <xdr:colOff>752476</xdr:colOff>
      <xdr:row>29</xdr:row>
      <xdr:rowOff>104775</xdr:rowOff>
    </xdr:to>
    <xdr:sp macro="" textlink="">
      <xdr:nvSpPr>
        <xdr:cNvPr id="2" name="TextBox 1">
          <a:extLst>
            <a:ext uri="{FF2B5EF4-FFF2-40B4-BE49-F238E27FC236}">
              <a16:creationId xmlns:a16="http://schemas.microsoft.com/office/drawing/2014/main" id="{6351DED3-E19E-89B3-1D8F-CA5FB7F8A7F2}"/>
            </a:ext>
          </a:extLst>
        </xdr:cNvPr>
        <xdr:cNvSpPr txBox="1"/>
      </xdr:nvSpPr>
      <xdr:spPr>
        <a:xfrm>
          <a:off x="8334376" y="2009775"/>
          <a:ext cx="6515100" cy="417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Let's assume our unit had 1,000 catheterized patients in the baseline (control) period and 1,000 in the intervention period.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You will carry over your number of events pre and post intervention from the</a:t>
          </a:r>
          <a:r>
            <a:rPr lang="en-US" sz="1100" baseline="0">
              <a:solidFill>
                <a:schemeClr val="dk1"/>
              </a:solidFill>
              <a:effectLst/>
              <a:latin typeface="+mn-lt"/>
              <a:ea typeface="+mn-ea"/>
              <a:cs typeface="+mn-cs"/>
            </a:rPr>
            <a:t> calculation worksheet. Plug them into the blue cells. Everything else will be calculated for you. </a:t>
          </a:r>
          <a:endParaRPr lang="en-US" sz="1100">
            <a:solidFill>
              <a:schemeClr val="dk1"/>
            </a:solidFill>
            <a:effectLst/>
            <a:latin typeface="+mn-lt"/>
            <a:ea typeface="+mn-ea"/>
            <a:cs typeface="+mn-cs"/>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Null Hypothesis:</a:t>
          </a:r>
          <a:r>
            <a:rPr lang="en-US" sz="1100">
              <a:solidFill>
                <a:schemeClr val="dk1"/>
              </a:solidFill>
              <a:effectLst/>
              <a:latin typeface="+mn-lt"/>
              <a:ea typeface="+mn-ea"/>
              <a:cs typeface="+mn-cs"/>
            </a:rPr>
            <a:t> The intervention has no effect; the rate of CAUTI is the same in both groups.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Formula:</a:t>
          </a:r>
          <a:r>
            <a:rPr lang="en-US" sz="1100">
              <a:solidFill>
                <a:schemeClr val="dk1"/>
              </a:solidFill>
              <a:effectLst/>
              <a:latin typeface="+mn-lt"/>
              <a:ea typeface="+mn-ea"/>
              <a:cs typeface="+mn-cs"/>
            </a:rPr>
            <a:t> </a:t>
          </a:r>
          <a:r>
            <a:rPr lang="el-GR">
              <a:effectLst/>
            </a:rPr>
            <a:t>χ2=∑</a:t>
          </a:r>
          <a:r>
            <a:rPr lang="en-US" sz="1100" b="0" i="0">
              <a:solidFill>
                <a:schemeClr val="dk1"/>
              </a:solidFill>
              <a:effectLst/>
              <a:latin typeface="+mn-lt"/>
              <a:ea typeface="+mn-ea"/>
              <a:cs typeface="+mn-cs"/>
            </a:rPr>
            <a:t>Expected(Observed−Expected)2​</a:t>
          </a:r>
          <a:br>
            <a:rPr lang="en-US" sz="1100" b="0" i="0">
              <a:solidFill>
                <a:schemeClr val="dk1"/>
              </a:solidFill>
              <a:effectLst/>
              <a:latin typeface="+mn-lt"/>
              <a:ea typeface="+mn-ea"/>
              <a:cs typeface="+mn-cs"/>
            </a:rPr>
          </a:br>
          <a:endParaRPr lang="en-US" sz="1100" b="0" i="0">
            <a:solidFill>
              <a:schemeClr val="dk1"/>
            </a:solidFill>
            <a:effectLst/>
            <a:latin typeface="+mn-lt"/>
            <a:ea typeface="+mn-ea"/>
            <a:cs typeface="+mn-cs"/>
          </a:endParaRPr>
        </a:p>
        <a:p>
          <a:r>
            <a:rPr lang="en-US" sz="1100" b="1">
              <a:solidFill>
                <a:schemeClr val="dk1"/>
              </a:solidFill>
              <a:effectLst/>
              <a:latin typeface="+mn-lt"/>
              <a:ea typeface="+mn-ea"/>
              <a:cs typeface="+mn-cs"/>
            </a:rPr>
            <a:t>Chi-Square Calculation:</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Baseline, CAUTI:</a:t>
          </a:r>
          <a:r>
            <a:rPr lang="en-US" sz="1100">
              <a:solidFill>
                <a:schemeClr val="dk1"/>
              </a:solidFill>
              <a:effectLst/>
              <a:latin typeface="+mn-lt"/>
              <a:ea typeface="+mn-ea"/>
              <a:cs typeface="+mn-cs"/>
            </a:rPr>
            <a:t> (15 - 12.5)^2 / 12.5 = 0.5</a:t>
          </a:r>
        </a:p>
        <a:p>
          <a:r>
            <a:rPr lang="en-US" sz="1100" b="1">
              <a:solidFill>
                <a:schemeClr val="dk1"/>
              </a:solidFill>
              <a:effectLst/>
              <a:latin typeface="+mn-lt"/>
              <a:ea typeface="+mn-ea"/>
              <a:cs typeface="+mn-cs"/>
            </a:rPr>
            <a:t>Baseline, No CAUTI:</a:t>
          </a:r>
          <a:r>
            <a:rPr lang="en-US" sz="1100">
              <a:solidFill>
                <a:schemeClr val="dk1"/>
              </a:solidFill>
              <a:effectLst/>
              <a:latin typeface="+mn-lt"/>
              <a:ea typeface="+mn-ea"/>
              <a:cs typeface="+mn-cs"/>
            </a:rPr>
            <a:t> (985 - 987.5)^2 / 987.5 = 0.006</a:t>
          </a:r>
        </a:p>
        <a:p>
          <a:r>
            <a:rPr lang="en-US" sz="1100" b="1">
              <a:solidFill>
                <a:schemeClr val="dk1"/>
              </a:solidFill>
              <a:effectLst/>
              <a:latin typeface="+mn-lt"/>
              <a:ea typeface="+mn-ea"/>
              <a:cs typeface="+mn-cs"/>
            </a:rPr>
            <a:t>Intervention, CAUTI:</a:t>
          </a:r>
          <a:r>
            <a:rPr lang="en-US" sz="1100">
              <a:solidFill>
                <a:schemeClr val="dk1"/>
              </a:solidFill>
              <a:effectLst/>
              <a:latin typeface="+mn-lt"/>
              <a:ea typeface="+mn-ea"/>
              <a:cs typeface="+mn-cs"/>
            </a:rPr>
            <a:t> (10 - 12.5)^2 / 12.5 = 0.5</a:t>
          </a:r>
        </a:p>
        <a:p>
          <a:r>
            <a:rPr lang="en-US" sz="1100" b="1">
              <a:solidFill>
                <a:schemeClr val="dk1"/>
              </a:solidFill>
              <a:effectLst/>
              <a:latin typeface="+mn-lt"/>
              <a:ea typeface="+mn-ea"/>
              <a:cs typeface="+mn-cs"/>
            </a:rPr>
            <a:t>Intervention, No CAUTI:</a:t>
          </a:r>
          <a:r>
            <a:rPr lang="en-US" sz="1100">
              <a:solidFill>
                <a:schemeClr val="dk1"/>
              </a:solidFill>
              <a:effectLst/>
              <a:latin typeface="+mn-lt"/>
              <a:ea typeface="+mn-ea"/>
              <a:cs typeface="+mn-cs"/>
            </a:rPr>
            <a:t> (990 - 987.5)^2 / 987.5 = 0.006</a:t>
          </a:r>
        </a:p>
        <a:p>
          <a:r>
            <a:rPr lang="el-GR" sz="1100">
              <a:solidFill>
                <a:schemeClr val="dk1"/>
              </a:solidFill>
              <a:effectLst/>
              <a:latin typeface="+mn-lt"/>
              <a:ea typeface="+mn-ea"/>
              <a:cs typeface="+mn-cs"/>
            </a:rPr>
            <a:t>χ2</a:t>
          </a:r>
          <a:r>
            <a:rPr lang="en-US" sz="1100">
              <a:solidFill>
                <a:schemeClr val="dk1"/>
              </a:solidFill>
              <a:effectLst/>
              <a:latin typeface="+mn-lt"/>
              <a:ea typeface="+mn-ea"/>
              <a:cs typeface="+mn-cs"/>
            </a:rPr>
            <a:t>= 0.5 + 0.006 + 0.5 + 0.006 = 1.012</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Interpret the Results:</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Degrees of Freedom (df):</a:t>
          </a:r>
          <a:r>
            <a:rPr lang="en-US" sz="1100">
              <a:solidFill>
                <a:schemeClr val="dk1"/>
              </a:solidFill>
              <a:effectLst/>
              <a:latin typeface="+mn-lt"/>
              <a:ea typeface="+mn-ea"/>
              <a:cs typeface="+mn-cs"/>
            </a:rPr>
            <a:t> (2  rows- 1) * (2 columns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- 1) = 1</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P-value:</a:t>
          </a:r>
          <a:r>
            <a:rPr lang="en-US" sz="1100">
              <a:solidFill>
                <a:schemeClr val="dk1"/>
              </a:solidFill>
              <a:effectLst/>
              <a:latin typeface="+mn-lt"/>
              <a:ea typeface="+mn-ea"/>
              <a:cs typeface="+mn-cs"/>
            </a:rPr>
            <a:t> With </a:t>
          </a:r>
          <a:r>
            <a:rPr lang="el-GR" sz="1100">
              <a:solidFill>
                <a:schemeClr val="dk1"/>
              </a:solidFill>
              <a:effectLst/>
              <a:latin typeface="+mn-lt"/>
              <a:ea typeface="+mn-ea"/>
              <a:cs typeface="+mn-cs"/>
            </a:rPr>
            <a:t>χ2</a:t>
          </a:r>
          <a:r>
            <a:rPr lang="en-US" sz="1100">
              <a:solidFill>
                <a:schemeClr val="dk1"/>
              </a:solidFill>
              <a:effectLst/>
              <a:latin typeface="+mn-lt"/>
              <a:ea typeface="+mn-ea"/>
              <a:cs typeface="+mn-cs"/>
            </a:rPr>
            <a:t> = 1.012 and df = 1, the p-value is approximately </a:t>
          </a:r>
          <a:r>
            <a:rPr lang="en-US" sz="1100" b="1">
              <a:solidFill>
                <a:schemeClr val="dk1"/>
              </a:solidFill>
              <a:effectLst/>
              <a:latin typeface="+mn-lt"/>
              <a:ea typeface="+mn-ea"/>
              <a:cs typeface="+mn-cs"/>
            </a:rPr>
            <a:t>0.314</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this hypothetical case, the p-value is </a:t>
          </a:r>
          <a:r>
            <a:rPr lang="en-US" sz="1100" i="1">
              <a:solidFill>
                <a:schemeClr val="dk1"/>
              </a:solidFill>
              <a:effectLst/>
              <a:latin typeface="+mn-lt"/>
              <a:ea typeface="+mn-ea"/>
              <a:cs typeface="+mn-cs"/>
            </a:rPr>
            <a:t>much greater</a:t>
          </a:r>
          <a:r>
            <a:rPr lang="en-US" sz="1100">
              <a:solidFill>
                <a:schemeClr val="dk1"/>
              </a:solidFill>
              <a:effectLst/>
              <a:latin typeface="+mn-lt"/>
              <a:ea typeface="+mn-ea"/>
              <a:cs typeface="+mn-cs"/>
            </a:rPr>
            <a:t> than 0.05. Therefore, we </a:t>
          </a:r>
          <a:r>
            <a:rPr lang="en-US" sz="1100" b="1">
              <a:solidFill>
                <a:schemeClr val="dk1"/>
              </a:solidFill>
              <a:effectLst/>
              <a:latin typeface="+mn-lt"/>
              <a:ea typeface="+mn-ea"/>
              <a:cs typeface="+mn-cs"/>
            </a:rPr>
            <a:t>fail to reject the null hypothesis</a:t>
          </a:r>
          <a:r>
            <a:rPr lang="en-US" sz="1100">
              <a:solidFill>
                <a:schemeClr val="dk1"/>
              </a:solidFill>
              <a:effectLst/>
              <a:latin typeface="+mn-lt"/>
              <a:ea typeface="+mn-ea"/>
              <a:cs typeface="+mn-cs"/>
            </a:rPr>
            <a:t>. This means there is no statistical evidence that our intervention had a significant impact. The 5-CAUTI reduction could be due to random chance. This tells us we need to re-evaluate our intervention or data.</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(This is a powerful example of why statistical validation is crucial—it prevents us from celebrating a "win" that may not be real).</a:t>
          </a:r>
          <a:endParaRPr lang="en-US" sz="1100">
            <a:solidFill>
              <a:schemeClr val="dk1"/>
            </a:solidFill>
            <a:effectLst/>
            <a:latin typeface="+mn-lt"/>
            <a:ea typeface="+mn-ea"/>
            <a:cs typeface="+mn-cs"/>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519546</xdr:colOff>
      <xdr:row>58</xdr:row>
      <xdr:rowOff>129887</xdr:rowOff>
    </xdr:from>
    <xdr:to>
      <xdr:col>8</xdr:col>
      <xdr:colOff>123825</xdr:colOff>
      <xdr:row>88</xdr:row>
      <xdr:rowOff>393123</xdr:rowOff>
    </xdr:to>
    <xdr:pic>
      <xdr:nvPicPr>
        <xdr:cNvPr id="3" name="Picture 2">
          <a:extLst>
            <a:ext uri="{FF2B5EF4-FFF2-40B4-BE49-F238E27FC236}">
              <a16:creationId xmlns:a16="http://schemas.microsoft.com/office/drawing/2014/main" id="{F9A6BCBB-A257-DD31-C674-5DC3B685C1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2523" y="12607637"/>
          <a:ext cx="6505575" cy="8420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142875</xdr:colOff>
      <xdr:row>0</xdr:row>
      <xdr:rowOff>66670</xdr:rowOff>
    </xdr:from>
    <xdr:to>
      <xdr:col>18</xdr:col>
      <xdr:colOff>133350</xdr:colOff>
      <xdr:row>86</xdr:row>
      <xdr:rowOff>1209674</xdr:rowOff>
    </xdr:to>
    <xdr:sp macro="" textlink="">
      <xdr:nvSpPr>
        <xdr:cNvPr id="2" name="TextBox 1">
          <a:extLst>
            <a:ext uri="{FF2B5EF4-FFF2-40B4-BE49-F238E27FC236}">
              <a16:creationId xmlns:a16="http://schemas.microsoft.com/office/drawing/2014/main" id="{8ED49C00-E807-3689-EE3F-A65D73C215A2}"/>
            </a:ext>
          </a:extLst>
        </xdr:cNvPr>
        <xdr:cNvSpPr txBox="1"/>
      </xdr:nvSpPr>
      <xdr:spPr>
        <a:xfrm>
          <a:off x="7458075" y="66670"/>
          <a:ext cx="10658475" cy="123453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100" b="1" i="0" u="none" strike="noStrike">
              <a:solidFill>
                <a:schemeClr val="dk1"/>
              </a:solidFill>
              <a:effectLst/>
              <a:latin typeface="+mn-lt"/>
              <a:ea typeface="+mn-ea"/>
              <a:cs typeface="+mn-cs"/>
            </a:rPr>
            <a:t>Verification of Healthcare Expense Figures with Source Citations</a:t>
          </a:r>
          <a:endParaRPr lang="en-US" b="1">
            <a:effectLst/>
          </a:endParaRPr>
        </a:p>
        <a:p>
          <a:pPr rtl="0"/>
          <a:r>
            <a:rPr lang="en-US" sz="1100" b="1" i="0" u="none" strike="noStrike">
              <a:solidFill>
                <a:schemeClr val="dk1"/>
              </a:solidFill>
              <a:effectLst/>
              <a:latin typeface="+mn-lt"/>
              <a:ea typeface="+mn-ea"/>
              <a:cs typeface="+mn-cs"/>
            </a:rPr>
            <a:t>Introduction</a:t>
          </a:r>
          <a:endParaRPr lang="en-US" b="1">
            <a:effectLst/>
          </a:endParaRPr>
        </a:p>
        <a:p>
          <a:pPr rtl="0"/>
          <a:r>
            <a:rPr lang="en-US" sz="1100" b="0" i="0" u="none" strike="noStrike">
              <a:solidFill>
                <a:schemeClr val="dk1"/>
              </a:solidFill>
              <a:effectLst/>
              <a:latin typeface="+mn-lt"/>
              <a:ea typeface="+mn-ea"/>
              <a:cs typeface="+mn-cs"/>
            </a:rPr>
            <a:t>This report provides a systematic verification and sourcing analysis for a provided list of healthcare-related cost figures. The objective is to identify credible sources for each figure, with a particular focus on data potentially originating from the Agency for Healthcare Research and Quality (AHRQ), while also incorporating findings from other reputable sources such as the Centers for Medicare &amp; Medicaid Services (CMS), the National Institutes of Health (NIH), the Bureau of Labor Statistics (BLS), peer-reviewed academic journals, and industry reports.</a:t>
          </a:r>
          <a:endParaRPr lang="en-US" b="0">
            <a:effectLst/>
          </a:endParaRPr>
        </a:p>
        <a:p>
          <a:pPr rtl="0"/>
          <a:r>
            <a:rPr lang="en-US" sz="1100" b="0" i="0" u="none" strike="noStrike">
              <a:solidFill>
                <a:schemeClr val="dk1"/>
              </a:solidFill>
              <a:effectLst/>
              <a:latin typeface="+mn-lt"/>
              <a:ea typeface="+mn-ea"/>
              <a:cs typeface="+mn-cs"/>
            </a:rPr>
            <a:t>The methodology involved several steps:</a:t>
          </a:r>
          <a:endParaRPr lang="en-US" b="0">
            <a:effectLst/>
          </a:endParaRPr>
        </a:p>
        <a:p>
          <a:pPr rtl="0" fontAlgn="base"/>
          <a:r>
            <a:rPr lang="en-US" sz="1100" b="0" i="0" u="none" strike="noStrike">
              <a:solidFill>
                <a:schemeClr val="dk1"/>
              </a:solidFill>
              <a:effectLst/>
              <a:latin typeface="+mn-lt"/>
              <a:ea typeface="+mn-ea"/>
              <a:cs typeface="+mn-cs"/>
            </a:rPr>
            <a:t>Systematic searches within AHRQ's data resources, including the Medical Expenditure Panel Survey (MEPS) and the Healthcare Cost and Utilization Project (HCUP) data tools and statistical briefs.</a:t>
          </a:r>
          <a:r>
            <a:rPr lang="en-US" sz="1100" b="0" i="0" u="none" strike="noStrike" baseline="30000">
              <a:solidFill>
                <a:schemeClr val="dk1"/>
              </a:solidFill>
              <a:effectLst/>
              <a:latin typeface="+mn-lt"/>
              <a:ea typeface="+mn-ea"/>
              <a:cs typeface="+mn-cs"/>
            </a:rPr>
            <a:t>1</a:t>
          </a:r>
          <a:endParaRPr lang="en-US" sz="1100" b="0" i="0" u="none" strike="noStrike">
            <a:solidFill>
              <a:schemeClr val="dk1"/>
            </a:solidFill>
            <a:effectLst/>
            <a:latin typeface="+mn-lt"/>
            <a:ea typeface="+mn-ea"/>
            <a:cs typeface="+mn-cs"/>
          </a:endParaRPr>
        </a:p>
        <a:p>
          <a:pPr rtl="0" fontAlgn="base"/>
          <a:r>
            <a:rPr lang="en-US" sz="1100" b="0" i="0" u="none" strike="noStrike">
              <a:solidFill>
                <a:schemeClr val="dk1"/>
              </a:solidFill>
              <a:effectLst/>
              <a:latin typeface="+mn-lt"/>
              <a:ea typeface="+mn-ea"/>
              <a:cs typeface="+mn-cs"/>
            </a:rPr>
            <a:t>Targeted web searches combining specific item names and cost figures to locate potential sources across AHRQ, CMS, PubMed, and other relevant health economic databases.</a:t>
          </a:r>
        </a:p>
        <a:p>
          <a:pPr rtl="0" fontAlgn="base"/>
          <a:r>
            <a:rPr lang="en-US" sz="1100" b="0" i="0" u="none" strike="noStrike">
              <a:solidFill>
                <a:schemeClr val="dk1"/>
              </a:solidFill>
              <a:effectLst/>
              <a:latin typeface="+mn-lt"/>
              <a:ea typeface="+mn-ea"/>
              <a:cs typeface="+mn-cs"/>
            </a:rPr>
            <a:t>Specific searches for staffing costs, wages, and turnover expenses, utilizing resources like the BLS, healthcare human resources studies, and nursing industry reports (e.g., NSI Nursing Solutions).</a:t>
          </a:r>
        </a:p>
        <a:p>
          <a:pPr rtl="0" fontAlgn="base"/>
          <a:r>
            <a:rPr lang="en-US" sz="1100" b="0" i="0" u="none" strike="noStrike">
              <a:solidFill>
                <a:schemeClr val="dk1"/>
              </a:solidFill>
              <a:effectLst/>
              <a:latin typeface="+mn-lt"/>
              <a:ea typeface="+mn-ea"/>
              <a:cs typeface="+mn-cs"/>
            </a:rPr>
            <a:t>Investigation of costs associated with specific healthcare events, conditions, and procedures through economic impact studies, cost-of-illness reports, and cost analyses published in academic literature.</a:t>
          </a:r>
        </a:p>
        <a:p>
          <a:pPr rtl="0" fontAlgn="base"/>
          <a:r>
            <a:rPr lang="en-US" sz="1100" b="0" i="0" u="none" strike="noStrike">
              <a:solidFill>
                <a:schemeClr val="dk1"/>
              </a:solidFill>
              <a:effectLst/>
              <a:latin typeface="+mn-lt"/>
              <a:ea typeface="+mn-ea"/>
              <a:cs typeface="+mn-cs"/>
            </a:rPr>
            <a:t>Extraction and documentation of complete citation information where sources were identified.</a:t>
          </a:r>
        </a:p>
        <a:p>
          <a:pPr rtl="0" fontAlgn="base"/>
          <a:r>
            <a:rPr lang="en-US" sz="1100" b="0" i="0" u="none" strike="noStrike">
              <a:solidFill>
                <a:schemeClr val="dk1"/>
              </a:solidFill>
              <a:effectLst/>
              <a:latin typeface="+mn-lt"/>
              <a:ea typeface="+mn-ea"/>
              <a:cs typeface="+mn-cs"/>
            </a:rPr>
            <a:t>Assessment of the verifiability of each listed figure against the sourced data, noting confirmations, discrepancies, and items lacking sufficient context or evidence within the reviewed materials.</a:t>
          </a:r>
        </a:p>
        <a:p>
          <a:pPr rtl="0"/>
          <a:r>
            <a:rPr lang="en-US" sz="1100" b="0" i="0" u="none" strike="noStrike">
              <a:solidFill>
                <a:schemeClr val="dk1"/>
              </a:solidFill>
              <a:effectLst/>
              <a:latin typeface="+mn-lt"/>
              <a:ea typeface="+mn-ea"/>
              <a:cs typeface="+mn-cs"/>
            </a:rPr>
            <a:t>It is important to acknowledge the inherent variability in healthcare cost data. Figures can differ based on the data source (e.g., claims data, survey data, specific hospital systems), the year the data was collected, the specific population studied (e.g., Medicare patients, commercially insured, children), the definition of costs included (e.g., direct medical costs, indirect costs, societal costs), and whether the figure represents actual costs incurred by providers or charges billed to payers or patients. This report endeavors to provide context where available but notes that applying these figures requires careful consideration of their origin and scope.</a:t>
          </a:r>
          <a:endParaRPr lang="en-US" b="0">
            <a:effectLst/>
          </a:endParaRPr>
        </a:p>
        <a:p>
          <a:pPr rtl="0"/>
          <a:r>
            <a:rPr lang="en-US" sz="1100" b="1" i="0" u="none" strike="noStrike">
              <a:solidFill>
                <a:schemeClr val="dk1"/>
              </a:solidFill>
              <a:effectLst/>
              <a:latin typeface="+mn-lt"/>
              <a:ea typeface="+mn-ea"/>
              <a:cs typeface="+mn-cs"/>
            </a:rPr>
            <a:t>Analysis of Healthcare-Associated Conditions (HACs) and Infections</a:t>
          </a:r>
          <a:endParaRPr lang="en-US" b="1">
            <a:effectLst/>
          </a:endParaRPr>
        </a:p>
        <a:p>
          <a:pPr rtl="0"/>
          <a:r>
            <a:rPr lang="en-US" sz="1100" b="0" i="0" u="none" strike="noStrike">
              <a:solidFill>
                <a:schemeClr val="dk1"/>
              </a:solidFill>
              <a:effectLst/>
              <a:latin typeface="+mn-lt"/>
              <a:ea typeface="+mn-ea"/>
              <a:cs typeface="+mn-cs"/>
            </a:rPr>
            <a:t>Healthcare-associated conditions (HACs) and infections represent a significant burden on the healthcare system, contributing to increased patient morbidity, mortality, and substantial additional costs. Several figures provided relate to well-known HACs, many of which have been extensively studied, including by AHRQ.</a:t>
          </a:r>
          <a:endParaRPr lang="en-US" b="0">
            <a:effectLst/>
          </a:endParaRPr>
        </a:p>
        <a:p>
          <a:pPr rtl="0"/>
          <a:r>
            <a:rPr lang="en-US" sz="1100" b="1" i="0" u="none" strike="noStrike">
              <a:solidFill>
                <a:schemeClr val="dk1"/>
              </a:solidFill>
              <a:effectLst/>
              <a:latin typeface="+mn-lt"/>
              <a:ea typeface="+mn-ea"/>
              <a:cs typeface="+mn-cs"/>
            </a:rPr>
            <a:t>Table 1: Summary of Meta-Analysis Additional Cost Estimates for Selected HACs (2017 AHRQ Report)</a:t>
          </a:r>
          <a:endParaRPr lang="en-US" b="0">
            <a:effectLst/>
          </a:endParaRPr>
        </a:p>
        <a:p>
          <a:pPr rtl="0" fontAlgn="t"/>
          <a:br>
            <a:rPr lang="en-US" b="0">
              <a:effectLst/>
            </a:rPr>
          </a:br>
          <a:r>
            <a:rPr lang="en-US" sz="1100" b="1" i="0" u="none" strike="noStrike">
              <a:solidFill>
                <a:schemeClr val="dk1"/>
              </a:solidFill>
              <a:effectLst/>
              <a:latin typeface="+mn-lt"/>
              <a:ea typeface="+mn-ea"/>
              <a:cs typeface="+mn-cs"/>
            </a:rPr>
            <a:t>HAC Type</a:t>
          </a:r>
          <a:endParaRPr lang="en-US" b="0">
            <a:effectLst/>
          </a:endParaRPr>
        </a:p>
        <a:p>
          <a:pPr rtl="0" fontAlgn="t"/>
          <a:r>
            <a:rPr lang="en-US" sz="1100" b="1" i="0" u="none" strike="noStrike">
              <a:solidFill>
                <a:schemeClr val="dk1"/>
              </a:solidFill>
              <a:effectLst/>
              <a:latin typeface="+mn-lt"/>
              <a:ea typeface="+mn-ea"/>
              <a:cs typeface="+mn-cs"/>
            </a:rPr>
            <a:t>Additional Cost Estimate (95% CI)</a:t>
          </a:r>
          <a:endParaRPr lang="en-US" b="0">
            <a:effectLst/>
          </a:endParaRPr>
        </a:p>
        <a:p>
          <a:pPr rtl="0" fontAlgn="t"/>
          <a:r>
            <a:rPr lang="en-US" sz="1100" b="1" i="0" u="none" strike="noStrike">
              <a:solidFill>
                <a:schemeClr val="dk1"/>
              </a:solidFill>
              <a:effectLst/>
              <a:latin typeface="+mn-lt"/>
              <a:ea typeface="+mn-ea"/>
              <a:cs typeface="+mn-cs"/>
            </a:rPr>
            <a:t>Source Snippets</a:t>
          </a:r>
          <a:endParaRPr lang="en-US" b="0">
            <a:effectLst/>
          </a:endParaRPr>
        </a:p>
        <a:p>
          <a:pPr rtl="0" fontAlgn="t"/>
          <a:r>
            <a:rPr lang="en-US" sz="1100" b="0" i="0" u="none" strike="noStrike">
              <a:solidFill>
                <a:schemeClr val="dk1"/>
              </a:solidFill>
              <a:effectLst/>
              <a:latin typeface="+mn-lt"/>
              <a:ea typeface="+mn-ea"/>
              <a:cs typeface="+mn-cs"/>
            </a:rPr>
            <a:t>Central Line-Associated Bloodstream Infection (CLABSI)</a:t>
          </a:r>
          <a:endParaRPr lang="en-US" b="0">
            <a:effectLst/>
          </a:endParaRPr>
        </a:p>
        <a:p>
          <a:pPr rtl="0" fontAlgn="t"/>
          <a:r>
            <a:rPr lang="en-US" sz="1100" b="0" i="0" u="none" strike="noStrike">
              <a:solidFill>
                <a:schemeClr val="dk1"/>
              </a:solidFill>
              <a:effectLst/>
              <a:latin typeface="+mn-lt"/>
              <a:ea typeface="+mn-ea"/>
              <a:cs typeface="+mn-cs"/>
            </a:rPr>
            <a:t>$48,108 ($27,232–$68,983)</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fontAlgn="t"/>
          <a:r>
            <a:rPr lang="en-US" sz="1100" b="0" i="0" u="none" strike="noStrike">
              <a:solidFill>
                <a:schemeClr val="dk1"/>
              </a:solidFill>
              <a:effectLst/>
              <a:latin typeface="+mn-lt"/>
              <a:ea typeface="+mn-ea"/>
              <a:cs typeface="+mn-cs"/>
            </a:rPr>
            <a:t>Catheter-Associated Urinary Tract Infection (CAUTI)</a:t>
          </a:r>
          <a:endParaRPr lang="en-US" b="0">
            <a:effectLst/>
          </a:endParaRPr>
        </a:p>
        <a:p>
          <a:pPr rtl="0" fontAlgn="t"/>
          <a:r>
            <a:rPr lang="en-US" sz="1100" b="0" i="0" u="none" strike="noStrike">
              <a:solidFill>
                <a:schemeClr val="dk1"/>
              </a:solidFill>
              <a:effectLst/>
              <a:latin typeface="+mn-lt"/>
              <a:ea typeface="+mn-ea"/>
              <a:cs typeface="+mn-cs"/>
            </a:rPr>
            <a:t>$13,793 ($5,019–$22,568)</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fontAlgn="t"/>
          <a:r>
            <a:rPr lang="en-US" sz="1100" b="0" i="0" u="none" strike="noStrike">
              <a:solidFill>
                <a:schemeClr val="dk1"/>
              </a:solidFill>
              <a:effectLst/>
              <a:latin typeface="+mn-lt"/>
              <a:ea typeface="+mn-ea"/>
              <a:cs typeface="+mn-cs"/>
            </a:rPr>
            <a:t>Surgical Site Infection (SSI)</a:t>
          </a:r>
          <a:endParaRPr lang="en-US" b="0">
            <a:effectLst/>
          </a:endParaRPr>
        </a:p>
        <a:p>
          <a:pPr rtl="0" fontAlgn="t"/>
          <a:r>
            <a:rPr lang="en-US" sz="1100" b="0" i="0" u="none" strike="noStrike">
              <a:solidFill>
                <a:schemeClr val="dk1"/>
              </a:solidFill>
              <a:effectLst/>
              <a:latin typeface="+mn-lt"/>
              <a:ea typeface="+mn-ea"/>
              <a:cs typeface="+mn-cs"/>
            </a:rPr>
            <a:t>$28,219 ($18,237–$38,202)</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fontAlgn="t"/>
          <a:r>
            <a:rPr lang="en-US" sz="1100" b="0" i="0" u="none" strike="noStrike">
              <a:solidFill>
                <a:schemeClr val="dk1"/>
              </a:solidFill>
              <a:effectLst/>
              <a:latin typeface="+mn-lt"/>
              <a:ea typeface="+mn-ea"/>
              <a:cs typeface="+mn-cs"/>
            </a:rPr>
            <a:t>Ventilator-Associated Pneumonia (VAP)</a:t>
          </a:r>
          <a:endParaRPr lang="en-US" b="0">
            <a:effectLst/>
          </a:endParaRPr>
        </a:p>
        <a:p>
          <a:pPr rtl="0" fontAlgn="t"/>
          <a:r>
            <a:rPr lang="en-US" sz="1100" b="0" i="0" u="none" strike="noStrike">
              <a:solidFill>
                <a:schemeClr val="dk1"/>
              </a:solidFill>
              <a:effectLst/>
              <a:latin typeface="+mn-lt"/>
              <a:ea typeface="+mn-ea"/>
              <a:cs typeface="+mn-cs"/>
            </a:rPr>
            <a:t>$47,238 ($21,890–$72,587)</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fontAlgn="t"/>
          <a:r>
            <a:rPr lang="en-US" sz="1100" b="0" i="1" u="none" strike="noStrike">
              <a:solidFill>
                <a:schemeClr val="dk1"/>
              </a:solidFill>
              <a:effectLst/>
              <a:latin typeface="+mn-lt"/>
              <a:ea typeface="+mn-ea"/>
              <a:cs typeface="+mn-cs"/>
            </a:rPr>
            <a:t>Clostridioides difficile</a:t>
          </a:r>
          <a:r>
            <a:rPr lang="en-US" sz="1100" b="0" i="0" u="none" strike="noStrike">
              <a:solidFill>
                <a:schemeClr val="dk1"/>
              </a:solidFill>
              <a:effectLst/>
              <a:latin typeface="+mn-lt"/>
              <a:ea typeface="+mn-ea"/>
              <a:cs typeface="+mn-cs"/>
            </a:rPr>
            <a:t> Infection (CDI)</a:t>
          </a:r>
          <a:endParaRPr lang="en-US" b="0">
            <a:effectLst/>
          </a:endParaRPr>
        </a:p>
        <a:p>
          <a:pPr rtl="0" fontAlgn="t"/>
          <a:r>
            <a:rPr lang="en-US" sz="1100" b="0" i="0" u="none" strike="noStrike">
              <a:solidFill>
                <a:schemeClr val="dk1"/>
              </a:solidFill>
              <a:effectLst/>
              <a:latin typeface="+mn-lt"/>
              <a:ea typeface="+mn-ea"/>
              <a:cs typeface="+mn-cs"/>
            </a:rPr>
            <a:t>$17,260 ($9,341–$25,180)</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fontAlgn="t"/>
          <a:r>
            <a:rPr lang="en-US" sz="1100" b="0" i="0" u="none" strike="noStrike">
              <a:solidFill>
                <a:schemeClr val="dk1"/>
              </a:solidFill>
              <a:effectLst/>
              <a:latin typeface="+mn-lt"/>
              <a:ea typeface="+mn-ea"/>
              <a:cs typeface="+mn-cs"/>
            </a:rPr>
            <a:t>Adverse Drug Events (ADE)</a:t>
          </a:r>
          <a:endParaRPr lang="en-US" b="0">
            <a:effectLst/>
          </a:endParaRPr>
        </a:p>
        <a:p>
          <a:pPr rtl="0" fontAlgn="t"/>
          <a:r>
            <a:rPr lang="en-US" sz="1100" b="0" i="0" u="none" strike="noStrike">
              <a:solidFill>
                <a:schemeClr val="dk1"/>
              </a:solidFill>
              <a:effectLst/>
              <a:latin typeface="+mn-lt"/>
              <a:ea typeface="+mn-ea"/>
              <a:cs typeface="+mn-cs"/>
            </a:rPr>
            <a:t>$5,746 (-$3,950–$15,441)</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fontAlgn="t"/>
          <a:r>
            <a:rPr lang="en-US" sz="1100" b="0" i="0" u="none" strike="noStrike">
              <a:solidFill>
                <a:schemeClr val="dk1"/>
              </a:solidFill>
              <a:effectLst/>
              <a:latin typeface="+mn-lt"/>
              <a:ea typeface="+mn-ea"/>
              <a:cs typeface="+mn-cs"/>
            </a:rPr>
            <a:t>Venous Thromboembolism (VTE)</a:t>
          </a:r>
          <a:endParaRPr lang="en-US" b="0">
            <a:effectLst/>
          </a:endParaRPr>
        </a:p>
        <a:p>
          <a:pPr rtl="0" fontAlgn="t"/>
          <a:r>
            <a:rPr lang="en-US" sz="1100" b="0" i="0" u="none" strike="noStrike">
              <a:solidFill>
                <a:schemeClr val="dk1"/>
              </a:solidFill>
              <a:effectLst/>
              <a:latin typeface="+mn-lt"/>
              <a:ea typeface="+mn-ea"/>
              <a:cs typeface="+mn-cs"/>
            </a:rPr>
            <a:t>$17,367 ($11,837–$22,898)</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fontAlgn="t"/>
          <a:r>
            <a:rPr lang="en-US" sz="1100" b="0" i="0" u="none" strike="noStrike">
              <a:solidFill>
                <a:schemeClr val="dk1"/>
              </a:solidFill>
              <a:effectLst/>
              <a:latin typeface="+mn-lt"/>
              <a:ea typeface="+mn-ea"/>
              <a:cs typeface="+mn-cs"/>
            </a:rPr>
            <a:t>Pressure Ulcers (HAPU - General)</a:t>
          </a:r>
          <a:endParaRPr lang="en-US" b="0">
            <a:effectLst/>
          </a:endParaRPr>
        </a:p>
        <a:p>
          <a:pPr rtl="0" fontAlgn="t"/>
          <a:r>
            <a:rPr lang="en-US" sz="1100" b="0" i="0" u="none" strike="noStrike">
              <a:solidFill>
                <a:schemeClr val="dk1"/>
              </a:solidFill>
              <a:effectLst/>
              <a:latin typeface="+mn-lt"/>
              <a:ea typeface="+mn-ea"/>
              <a:cs typeface="+mn-cs"/>
            </a:rPr>
            <a:t>$14,506 (-$14,506–$41,326)</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fontAlgn="t"/>
          <a:r>
            <a:rPr lang="en-US" sz="1100" b="0" i="0" u="none" strike="noStrike">
              <a:solidFill>
                <a:schemeClr val="dk1"/>
              </a:solidFill>
              <a:effectLst/>
              <a:latin typeface="+mn-lt"/>
              <a:ea typeface="+mn-ea"/>
              <a:cs typeface="+mn-cs"/>
            </a:rPr>
            <a:t>Obstetric Adverse Events (OBAE)</a:t>
          </a:r>
          <a:endParaRPr lang="en-US" b="0">
            <a:effectLst/>
          </a:endParaRPr>
        </a:p>
        <a:p>
          <a:pPr rtl="0" fontAlgn="t"/>
          <a:r>
            <a:rPr lang="en-US" sz="1100" b="0" i="0" u="none" strike="noStrike">
              <a:solidFill>
                <a:schemeClr val="dk1"/>
              </a:solidFill>
              <a:effectLst/>
              <a:latin typeface="+mn-lt"/>
              <a:ea typeface="+mn-ea"/>
              <a:cs typeface="+mn-cs"/>
            </a:rPr>
            <a:t>$602 (-$578–$1,782)</a:t>
          </a:r>
          <a:endParaRPr lang="en-US" b="0">
            <a:effectLst/>
          </a:endParaRPr>
        </a:p>
        <a:p>
          <a:pPr rtl="0" fontAlgn="t"/>
          <a:r>
            <a:rPr lang="en-US" sz="1100" b="0" i="0" u="none" strike="noStrike" baseline="30000">
              <a:solidFill>
                <a:schemeClr val="dk1"/>
              </a:solidFill>
              <a:effectLst/>
              <a:latin typeface="+mn-lt"/>
              <a:ea typeface="+mn-ea"/>
              <a:cs typeface="+mn-cs"/>
            </a:rPr>
            <a:t>5</a:t>
          </a:r>
          <a:endParaRPr lang="en-US" b="0">
            <a:effectLst/>
          </a:endParaRPr>
        </a:p>
        <a:p>
          <a:pPr rtl="0"/>
          <a:r>
            <a:rPr lang="en-US" sz="1100" b="0" i="1" u="none" strike="noStrike">
              <a:solidFill>
                <a:schemeClr val="dk1"/>
              </a:solidFill>
              <a:effectLst/>
              <a:latin typeface="+mn-lt"/>
              <a:ea typeface="+mn-ea"/>
              <a:cs typeface="+mn-cs"/>
            </a:rPr>
            <a:t>Source: Adapted from AHRQ Partnership for Patients initiative, Content last reviewed November 2017.</a:t>
          </a:r>
          <a:r>
            <a:rPr lang="en-US" sz="1100" b="0" i="1" u="none" strike="noStrike" baseline="30000">
              <a:solidFill>
                <a:schemeClr val="dk1"/>
              </a:solidFill>
              <a:effectLst/>
              <a:latin typeface="+mn-lt"/>
              <a:ea typeface="+mn-ea"/>
              <a:cs typeface="+mn-cs"/>
            </a:rPr>
            <a:t>5</a:t>
          </a:r>
          <a:r>
            <a:rPr lang="en-US" sz="1100" b="0" i="1" u="none" strike="noStrike">
              <a:solidFill>
                <a:schemeClr val="dk1"/>
              </a:solidFill>
              <a:effectLst/>
              <a:latin typeface="+mn-lt"/>
              <a:ea typeface="+mn-ea"/>
              <a:cs typeface="+mn-cs"/>
            </a:rPr>
            <a:t> Costs represent additional expenses incurred per case compared to similar patients without the HAC.</a:t>
          </a:r>
          <a:endParaRPr lang="en-US" b="0">
            <a:effectLst/>
          </a:endParaRPr>
        </a:p>
        <a:p>
          <a:pPr rtl="0" fontAlgn="base"/>
          <a:r>
            <a:rPr lang="en-US" sz="1100" b="1" i="0" u="none" strike="noStrike">
              <a:solidFill>
                <a:schemeClr val="dk1"/>
              </a:solidFill>
              <a:effectLst/>
              <a:latin typeface="+mn-lt"/>
              <a:ea typeface="+mn-ea"/>
              <a:cs typeface="+mn-cs"/>
            </a:rPr>
            <a:t>Central Line-Associated Bloodstream Infections (CLABSI)</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$48,108</a:t>
          </a:r>
          <a:r>
            <a:rPr lang="en-US" sz="1100" b="0" i="0" u="none" strike="noStrike">
              <a:solidFill>
                <a:schemeClr val="dk1"/>
              </a:solidFill>
              <a:effectLst/>
              <a:latin typeface="+mn-lt"/>
              <a:ea typeface="+mn-ea"/>
              <a:cs typeface="+mn-cs"/>
            </a:rPr>
            <a:t> is verified as the estimated additional cost per CLABSI case from a 2017 AHRQ meta-analysis of seven studies.</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This figure is widely cited in subsequent literature and resources.</a:t>
          </a:r>
          <a:r>
            <a:rPr lang="en-US" sz="1100" b="0" i="0" u="none" strike="noStrike" baseline="30000">
              <a:solidFill>
                <a:schemeClr val="dk1"/>
              </a:solidFill>
              <a:effectLst/>
              <a:latin typeface="+mn-lt"/>
              <a:ea typeface="+mn-ea"/>
              <a:cs typeface="+mn-cs"/>
            </a:rPr>
            <a:t>6</a:t>
          </a:r>
          <a:r>
            <a:rPr lang="en-US" sz="1100" b="0" i="0" u="none" strike="noStrike">
              <a:solidFill>
                <a:schemeClr val="dk1"/>
              </a:solidFill>
              <a:effectLst/>
              <a:latin typeface="+mn-lt"/>
              <a:ea typeface="+mn-ea"/>
              <a:cs typeface="+mn-cs"/>
            </a:rPr>
            <a:t> The Zimlichman et al. (2013) study published in JAMA Internal Medicine, which was likely a key input to the AHRQ meta-analysis, also reported this specific figure ($45,814 in 2012 USD, inflating to approximately $48,108 by 2017).</a:t>
          </a:r>
          <a:r>
            <a:rPr lang="en-US" sz="1100" b="0" i="0" u="none" strike="noStrike" baseline="30000">
              <a:solidFill>
                <a:schemeClr val="dk1"/>
              </a:solidFill>
              <a:effectLst/>
              <a:latin typeface="+mn-lt"/>
              <a:ea typeface="+mn-ea"/>
              <a:cs typeface="+mn-cs"/>
            </a:rPr>
            <a:t>10</a:t>
          </a:r>
          <a:r>
            <a:rPr lang="en-US" sz="1100" b="0" i="0" u="none" strike="noStrike">
              <a:solidFill>
                <a:schemeClr val="dk1"/>
              </a:solidFill>
              <a:effectLst/>
              <a:latin typeface="+mn-lt"/>
              <a:ea typeface="+mn-ea"/>
              <a:cs typeface="+mn-cs"/>
            </a:rPr>
            <a:t> CLABSI is consistently identified as one of the most costly HAIs.</a:t>
          </a:r>
          <a:r>
            <a:rPr lang="en-US" sz="1100" b="0" i="0" u="none" strike="noStrike" baseline="30000">
              <a:solidFill>
                <a:schemeClr val="dk1"/>
              </a:solidFill>
              <a:effectLst/>
              <a:latin typeface="+mn-lt"/>
              <a:ea typeface="+mn-ea"/>
              <a:cs typeface="+mn-cs"/>
            </a:rPr>
            <a:t>5</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Catheter-Associated Urinary Tract Infections (CAUTI)</a:t>
          </a:r>
          <a:r>
            <a:rPr lang="en-US" sz="1100" b="0" i="0" u="none" strike="noStrike">
              <a:solidFill>
                <a:schemeClr val="dk1"/>
              </a:solidFill>
              <a:effectLst/>
              <a:latin typeface="+mn-lt"/>
              <a:ea typeface="+mn-ea"/>
              <a:cs typeface="+mn-cs"/>
            </a:rPr>
            <a:t>: The provided figure of $48,108 for CAUTI is </a:t>
          </a:r>
          <a:r>
            <a:rPr lang="en-US" sz="1100" b="1" i="0" u="none" strike="noStrike">
              <a:solidFill>
                <a:schemeClr val="dk1"/>
              </a:solidFill>
              <a:effectLst/>
              <a:latin typeface="+mn-lt"/>
              <a:ea typeface="+mn-ea"/>
              <a:cs typeface="+mn-cs"/>
            </a:rPr>
            <a:t>incorrect</a:t>
          </a:r>
          <a:r>
            <a:rPr lang="en-US" sz="1100" b="0" i="0" u="none" strike="noStrike">
              <a:solidFill>
                <a:schemeClr val="dk1"/>
              </a:solidFill>
              <a:effectLst/>
              <a:latin typeface="+mn-lt"/>
              <a:ea typeface="+mn-ea"/>
              <a:cs typeface="+mn-cs"/>
            </a:rPr>
            <a:t>. This figure matches the verified cost for CLABSI from the same AHRQ report.</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The AHRQ meta-analysis actually estimates the additional cost per CAUTI case to be </a:t>
          </a:r>
          <a:r>
            <a:rPr lang="en-US" sz="1100" b="1" i="0" u="none" strike="noStrike">
              <a:solidFill>
                <a:schemeClr val="dk1"/>
              </a:solidFill>
              <a:effectLst/>
              <a:latin typeface="+mn-lt"/>
              <a:ea typeface="+mn-ea"/>
              <a:cs typeface="+mn-cs"/>
            </a:rPr>
            <a:t>$13,793</a:t>
          </a:r>
          <a:r>
            <a:rPr lang="en-US" sz="1100" b="0" i="0" u="none" strike="noStrike">
              <a:solidFill>
                <a:schemeClr val="dk1"/>
              </a:solidFill>
              <a:effectLst/>
              <a:latin typeface="+mn-lt"/>
              <a:ea typeface="+mn-ea"/>
              <a:cs typeface="+mn-cs"/>
            </a:rPr>
            <a:t> (95% CI: $5,019–$22,568), based on six studies.</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This lower figure aligns better with other literature, which often cites CAUTI costs around $1,000 per case, although systematic reviews suggest attributable costs likely exceed $1,000 and vary widely depending on population and perspective.</a:t>
          </a:r>
          <a:r>
            <a:rPr lang="en-US" sz="1100" b="0" i="0" u="none" strike="noStrike" baseline="30000">
              <a:solidFill>
                <a:schemeClr val="dk1"/>
              </a:solidFill>
              <a:effectLst/>
              <a:latin typeface="+mn-lt"/>
              <a:ea typeface="+mn-ea"/>
              <a:cs typeface="+mn-cs"/>
            </a:rPr>
            <a:t>16</a:t>
          </a:r>
          <a:r>
            <a:rPr lang="en-US" sz="1100" b="0" i="0" u="none" strike="noStrike">
              <a:solidFill>
                <a:schemeClr val="dk1"/>
              </a:solidFill>
              <a:effectLst/>
              <a:latin typeface="+mn-lt"/>
              <a:ea typeface="+mn-ea"/>
              <a:cs typeface="+mn-cs"/>
            </a:rPr>
            <a:t> The impact of CMS non-payment policies for HACs like CAUTI on infection rates and hospital reimbursement has shown minimal effect, partly due to coding practices and the relatively small number of cases impacting reimbursement.</a:t>
          </a:r>
          <a:r>
            <a:rPr lang="en-US" sz="1100" b="0" i="0" u="none" strike="noStrike" baseline="30000">
              <a:solidFill>
                <a:schemeClr val="dk1"/>
              </a:solidFill>
              <a:effectLst/>
              <a:latin typeface="+mn-lt"/>
              <a:ea typeface="+mn-ea"/>
              <a:cs typeface="+mn-cs"/>
            </a:rPr>
            <a:t>19</a:t>
          </a:r>
          <a:r>
            <a:rPr lang="en-US" sz="1100" b="0" i="0" u="none" strike="noStrike">
              <a:solidFill>
                <a:schemeClr val="dk1"/>
              </a:solidFill>
              <a:effectLst/>
              <a:latin typeface="+mn-lt"/>
              <a:ea typeface="+mn-ea"/>
              <a:cs typeface="+mn-cs"/>
            </a:rPr>
            <a:t> Prevention efforts, however, can yield significant cost savings.</a:t>
          </a:r>
          <a:r>
            <a:rPr lang="en-US" sz="1100" b="0" i="0" u="none" strike="noStrike" baseline="30000">
              <a:solidFill>
                <a:schemeClr val="dk1"/>
              </a:solidFill>
              <a:effectLst/>
              <a:latin typeface="+mn-lt"/>
              <a:ea typeface="+mn-ea"/>
              <a:cs typeface="+mn-cs"/>
            </a:rPr>
            <a:t>22</a:t>
          </a:r>
          <a:r>
            <a:rPr lang="en-US" sz="1100" b="0" i="0" u="none" strike="noStrike">
              <a:solidFill>
                <a:schemeClr val="dk1"/>
              </a:solidFill>
              <a:effectLst/>
              <a:latin typeface="+mn-lt"/>
              <a:ea typeface="+mn-ea"/>
              <a:cs typeface="+mn-cs"/>
            </a:rPr>
            <a:t> The discrepancy strongly suggests the user figure for CAUTI was mistakenly substituted with the CLABSI value.</a:t>
          </a:r>
        </a:p>
        <a:p>
          <a:pPr rtl="0" fontAlgn="base"/>
          <a:r>
            <a:rPr lang="en-US" sz="1100" b="1" i="0" u="none" strike="noStrike">
              <a:solidFill>
                <a:schemeClr val="dk1"/>
              </a:solidFill>
              <a:effectLst/>
              <a:latin typeface="+mn-lt"/>
              <a:ea typeface="+mn-ea"/>
              <a:cs typeface="+mn-cs"/>
            </a:rPr>
            <a:t>Surgical Site Infections (SSI)</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$28,219</a:t>
          </a:r>
          <a:r>
            <a:rPr lang="en-US" sz="1100" b="0" i="0" u="none" strike="noStrike">
              <a:solidFill>
                <a:schemeClr val="dk1"/>
              </a:solidFill>
              <a:effectLst/>
              <a:latin typeface="+mn-lt"/>
              <a:ea typeface="+mn-ea"/>
              <a:cs typeface="+mn-cs"/>
            </a:rPr>
            <a:t> is verified as the estimated additional cost per SSI case from the 2017 AHRQ meta-analysis, based on five studies.</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More recent research using large databases (Medicare, Premier) found slightly lower incremental costs per SSI ($18,626 Medicare, $20,979 Premier) but confirmed that SSIs significantly increase length of stay and costs.</a:t>
          </a:r>
          <a:r>
            <a:rPr lang="en-US" sz="1100" b="0" i="0" u="none" strike="noStrike" baseline="30000">
              <a:solidFill>
                <a:schemeClr val="dk1"/>
              </a:solidFill>
              <a:effectLst/>
              <a:latin typeface="+mn-lt"/>
              <a:ea typeface="+mn-ea"/>
              <a:cs typeface="+mn-cs"/>
            </a:rPr>
            <a:t>23</a:t>
          </a:r>
          <a:r>
            <a:rPr lang="en-US" sz="1100" b="0" i="0" u="none" strike="noStrike">
              <a:solidFill>
                <a:schemeClr val="dk1"/>
              </a:solidFill>
              <a:effectLst/>
              <a:latin typeface="+mn-lt"/>
              <a:ea typeface="+mn-ea"/>
              <a:cs typeface="+mn-cs"/>
            </a:rPr>
            <a:t> Other sources note a wide range of estimated costs, from under $400 for superficial infections to over $30,000 or even $100,000 for deep/organ space infections.</a:t>
          </a:r>
          <a:r>
            <a:rPr lang="en-US" sz="1100" b="0" i="0" u="none" strike="noStrike" baseline="30000">
              <a:solidFill>
                <a:schemeClr val="dk1"/>
              </a:solidFill>
              <a:effectLst/>
              <a:latin typeface="+mn-lt"/>
              <a:ea typeface="+mn-ea"/>
              <a:cs typeface="+mn-cs"/>
            </a:rPr>
            <a:t>24</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Ventilator-Associated Pneumonia (VAP)</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$47,238</a:t>
          </a:r>
          <a:r>
            <a:rPr lang="en-US" sz="1100" b="0" i="0" u="none" strike="noStrike">
              <a:solidFill>
                <a:schemeClr val="dk1"/>
              </a:solidFill>
              <a:effectLst/>
              <a:latin typeface="+mn-lt"/>
              <a:ea typeface="+mn-ea"/>
              <a:cs typeface="+mn-cs"/>
            </a:rPr>
            <a:t> is verified as the estimated additional cost per VAP case from the 2017 AHRQ meta-analysis, based on five studies.</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This aligns with findings from other studies, such as Zimlichman et al. (2013) reporting $40,144 </a:t>
          </a:r>
          <a:r>
            <a:rPr lang="en-US" sz="1100" b="0" i="0" u="none" strike="noStrike" baseline="30000">
              <a:solidFill>
                <a:schemeClr val="dk1"/>
              </a:solidFill>
              <a:effectLst/>
              <a:latin typeface="+mn-lt"/>
              <a:ea typeface="+mn-ea"/>
              <a:cs typeface="+mn-cs"/>
            </a:rPr>
            <a:t>10</a:t>
          </a:r>
          <a:r>
            <a:rPr lang="en-US" sz="1100" b="0" i="0" u="none" strike="noStrike">
              <a:solidFill>
                <a:schemeClr val="dk1"/>
              </a:solidFill>
              <a:effectLst/>
              <a:latin typeface="+mn-lt"/>
              <a:ea typeface="+mn-ea"/>
              <a:cs typeface="+mn-cs"/>
            </a:rPr>
            <a:t> and a 2008 study reporting attributable VAP costs of $51,157.</a:t>
          </a:r>
          <a:r>
            <a:rPr lang="en-US" sz="1100" b="0" i="0" u="none" strike="noStrike" baseline="30000">
              <a:solidFill>
                <a:schemeClr val="dk1"/>
              </a:solidFill>
              <a:effectLst/>
              <a:latin typeface="+mn-lt"/>
              <a:ea typeface="+mn-ea"/>
              <a:cs typeface="+mn-cs"/>
            </a:rPr>
            <a:t>26</a:t>
          </a:r>
          <a:r>
            <a:rPr lang="en-US" sz="1100" b="0" i="0" u="none" strike="noStrike">
              <a:solidFill>
                <a:schemeClr val="dk1"/>
              </a:solidFill>
              <a:effectLst/>
              <a:latin typeface="+mn-lt"/>
              <a:ea typeface="+mn-ea"/>
              <a:cs typeface="+mn-cs"/>
            </a:rPr>
            <a:t> A 2012 study using the Premier database found an absolute difference in hospitalization costs of $39,828 for VAP patients versus matched controls.</a:t>
          </a:r>
          <a:r>
            <a:rPr lang="en-US" sz="1100" b="0" i="0" u="none" strike="noStrike" baseline="30000">
              <a:solidFill>
                <a:schemeClr val="dk1"/>
              </a:solidFill>
              <a:effectLst/>
              <a:latin typeface="+mn-lt"/>
              <a:ea typeface="+mn-ea"/>
              <a:cs typeface="+mn-cs"/>
            </a:rPr>
            <a:t>27</a:t>
          </a:r>
          <a:endParaRPr lang="en-US" sz="1100" b="0" i="0" u="none" strike="noStrike">
            <a:solidFill>
              <a:schemeClr val="dk1"/>
            </a:solidFill>
            <a:effectLst/>
            <a:latin typeface="+mn-lt"/>
            <a:ea typeface="+mn-ea"/>
            <a:cs typeface="+mn-cs"/>
          </a:endParaRPr>
        </a:p>
        <a:p>
          <a:pPr rtl="0" fontAlgn="base"/>
          <a:r>
            <a:rPr lang="en-US" sz="1100" b="1" i="1" u="none" strike="noStrike">
              <a:solidFill>
                <a:schemeClr val="dk1"/>
              </a:solidFill>
              <a:effectLst/>
              <a:latin typeface="+mn-lt"/>
              <a:ea typeface="+mn-ea"/>
              <a:cs typeface="+mn-cs"/>
            </a:rPr>
            <a:t>Clostridioides difficile</a:t>
          </a:r>
          <a:r>
            <a:rPr lang="en-US" sz="1100" b="1" i="0" u="none" strike="noStrike">
              <a:solidFill>
                <a:schemeClr val="dk1"/>
              </a:solidFill>
              <a:effectLst/>
              <a:latin typeface="+mn-lt"/>
              <a:ea typeface="+mn-ea"/>
              <a:cs typeface="+mn-cs"/>
            </a:rPr>
            <a:t> Infection (CDIFF)</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$24,205</a:t>
          </a:r>
          <a:r>
            <a:rPr lang="en-US" sz="1100" b="0" i="0" u="none" strike="noStrike">
              <a:solidFill>
                <a:schemeClr val="dk1"/>
              </a:solidFill>
              <a:effectLst/>
              <a:latin typeface="+mn-lt"/>
              <a:ea typeface="+mn-ea"/>
              <a:cs typeface="+mn-cs"/>
            </a:rPr>
            <a:t> is verified as the healthcare costs attributable to </a:t>
          </a:r>
          <a:r>
            <a:rPr lang="en-US" sz="1100" b="0" i="1" u="none" strike="noStrike">
              <a:solidFill>
                <a:schemeClr val="dk1"/>
              </a:solidFill>
              <a:effectLst/>
              <a:latin typeface="+mn-lt"/>
              <a:ea typeface="+mn-ea"/>
              <a:cs typeface="+mn-cs"/>
            </a:rPr>
            <a:t>primary</a:t>
          </a:r>
          <a:r>
            <a:rPr lang="en-US" sz="1100" b="0" i="0" u="none" strike="noStrike">
              <a:solidFill>
                <a:schemeClr val="dk1"/>
              </a:solidFill>
              <a:effectLst/>
              <a:latin typeface="+mn-lt"/>
              <a:ea typeface="+mn-ea"/>
              <a:cs typeface="+mn-cs"/>
            </a:rPr>
            <a:t> CDI over a 6-month follow-up period, based on a 2018 database study by Zhang et al. using MarketScan data.</a:t>
          </a:r>
          <a:r>
            <a:rPr lang="en-US" sz="1100" b="0" i="0" u="none" strike="noStrike" baseline="30000">
              <a:solidFill>
                <a:schemeClr val="dk1"/>
              </a:solidFill>
              <a:effectLst/>
              <a:latin typeface="+mn-lt"/>
              <a:ea typeface="+mn-ea"/>
              <a:cs typeface="+mn-cs"/>
            </a:rPr>
            <a:t>28</a:t>
          </a:r>
          <a:r>
            <a:rPr lang="en-US" sz="1100" b="0" i="0" u="none" strike="noStrike">
              <a:solidFill>
                <a:schemeClr val="dk1"/>
              </a:solidFill>
              <a:effectLst/>
              <a:latin typeface="+mn-lt"/>
              <a:ea typeface="+mn-ea"/>
              <a:cs typeface="+mn-cs"/>
            </a:rPr>
            <a:t> This figure is also cited in an NCBI Bookshelf resource on CDI.</a:t>
          </a:r>
          <a:r>
            <a:rPr lang="en-US" sz="1100" b="0" i="0" u="none" strike="noStrike" baseline="30000">
              <a:solidFill>
                <a:schemeClr val="dk1"/>
              </a:solidFill>
              <a:effectLst/>
              <a:latin typeface="+mn-lt"/>
              <a:ea typeface="+mn-ea"/>
              <a:cs typeface="+mn-cs"/>
            </a:rPr>
            <a:t>30</a:t>
          </a:r>
          <a:r>
            <a:rPr lang="en-US" sz="1100" b="0" i="0" u="none" strike="noStrike">
              <a:solidFill>
                <a:schemeClr val="dk1"/>
              </a:solidFill>
              <a:effectLst/>
              <a:latin typeface="+mn-lt"/>
              <a:ea typeface="+mn-ea"/>
              <a:cs typeface="+mn-cs"/>
            </a:rPr>
            <a:t> It is noteworthy that the AHRQ meta-analysis reported a lower average additional cost estimate for CDI ($17,260) based on nine studies.</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The existence of multiple credible estimates highlights the influence of methodology, data source (claims vs. meta-analysis), and timeframe (6-month follow-up vs. per-case) on cost figures. The Zhang et al. figure represents a robust estimate from a large claims database for the 6-month cost burden of primary CDI.</a:t>
          </a:r>
        </a:p>
        <a:p>
          <a:pPr rtl="0" fontAlgn="base"/>
          <a:r>
            <a:rPr lang="en-US" sz="1100" b="1" i="0" u="none" strike="noStrike">
              <a:solidFill>
                <a:schemeClr val="dk1"/>
              </a:solidFill>
              <a:effectLst/>
              <a:latin typeface="+mn-lt"/>
              <a:ea typeface="+mn-ea"/>
              <a:cs typeface="+mn-cs"/>
            </a:rPr>
            <a:t>Methicillin-Resistant </a:t>
          </a:r>
          <a:r>
            <a:rPr lang="en-US" sz="1100" b="1" i="1" u="none" strike="noStrike">
              <a:solidFill>
                <a:schemeClr val="dk1"/>
              </a:solidFill>
              <a:effectLst/>
              <a:latin typeface="+mn-lt"/>
              <a:ea typeface="+mn-ea"/>
              <a:cs typeface="+mn-cs"/>
            </a:rPr>
            <a:t>Staphylococcus aureus</a:t>
          </a:r>
          <a:r>
            <a:rPr lang="en-US" sz="1100" b="1" i="0" u="none" strike="noStrike">
              <a:solidFill>
                <a:schemeClr val="dk1"/>
              </a:solidFill>
              <a:effectLst/>
              <a:latin typeface="+mn-lt"/>
              <a:ea typeface="+mn-ea"/>
              <a:cs typeface="+mn-cs"/>
            </a:rPr>
            <a:t> (MRSA) Infections</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$14,792</a:t>
          </a:r>
          <a:r>
            <a:rPr lang="en-US" sz="1100" b="0" i="0" u="none" strike="noStrike">
              <a:solidFill>
                <a:schemeClr val="dk1"/>
              </a:solidFill>
              <a:effectLst/>
              <a:latin typeface="+mn-lt"/>
              <a:ea typeface="+mn-ea"/>
              <a:cs typeface="+mn-cs"/>
            </a:rPr>
            <a:t> is verified as the propensity score-adjusted cost for </a:t>
          </a:r>
          <a:r>
            <a:rPr lang="en-US" sz="1100" b="0" i="1" u="none" strike="noStrike">
              <a:solidFill>
                <a:schemeClr val="dk1"/>
              </a:solidFill>
              <a:effectLst/>
              <a:latin typeface="+mn-lt"/>
              <a:ea typeface="+mn-ea"/>
              <a:cs typeface="+mn-cs"/>
            </a:rPr>
            <a:t>unspecified</a:t>
          </a:r>
          <a:r>
            <a:rPr lang="en-US" sz="1100" b="0" i="0" u="none" strike="noStrike">
              <a:solidFill>
                <a:schemeClr val="dk1"/>
              </a:solidFill>
              <a:effectLst/>
              <a:latin typeface="+mn-lt"/>
              <a:ea typeface="+mn-ea"/>
              <a:cs typeface="+mn-cs"/>
            </a:rPr>
            <a:t> MRSA hospitalizations (excluding those resulting in death) identified in a 2018 study by Klein et al. using 2014 Premier hospital data.</a:t>
          </a:r>
          <a:r>
            <a:rPr lang="en-US" sz="1100" b="0" i="0" u="none" strike="noStrike" baseline="30000">
              <a:solidFill>
                <a:schemeClr val="dk1"/>
              </a:solidFill>
              <a:effectLst/>
              <a:latin typeface="+mn-lt"/>
              <a:ea typeface="+mn-ea"/>
              <a:cs typeface="+mn-cs"/>
            </a:rPr>
            <a:t>31</a:t>
          </a:r>
          <a:r>
            <a:rPr lang="en-US" sz="1100" b="0" i="0" u="none" strike="noStrike">
              <a:solidFill>
                <a:schemeClr val="dk1"/>
              </a:solidFill>
              <a:effectLst/>
              <a:latin typeface="+mn-lt"/>
              <a:ea typeface="+mn-ea"/>
              <a:cs typeface="+mn-cs"/>
            </a:rPr>
            <a:t> This figure is supported by earlier AHRQ statistical briefs (using 2005 and 2013 data) which reported average MRSA hospitalization costs of approximately $14,000.</a:t>
          </a:r>
          <a:r>
            <a:rPr lang="en-US" sz="1100" b="0" i="0" u="none" strike="noStrike" baseline="30000">
              <a:solidFill>
                <a:schemeClr val="dk1"/>
              </a:solidFill>
              <a:effectLst/>
              <a:latin typeface="+mn-lt"/>
              <a:ea typeface="+mn-ea"/>
              <a:cs typeface="+mn-cs"/>
            </a:rPr>
            <a:t>32</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Methicillin-Susceptible </a:t>
          </a:r>
          <a:r>
            <a:rPr lang="en-US" sz="1100" b="1" i="1" u="none" strike="noStrike">
              <a:solidFill>
                <a:schemeClr val="dk1"/>
              </a:solidFill>
              <a:effectLst/>
              <a:latin typeface="+mn-lt"/>
              <a:ea typeface="+mn-ea"/>
              <a:cs typeface="+mn-cs"/>
            </a:rPr>
            <a:t>Staphylococcus aureus</a:t>
          </a:r>
          <a:r>
            <a:rPr lang="en-US" sz="1100" b="1" i="0" u="none" strike="noStrike">
              <a:solidFill>
                <a:schemeClr val="dk1"/>
              </a:solidFill>
              <a:effectLst/>
              <a:latin typeface="+mn-lt"/>
              <a:ea typeface="+mn-ea"/>
              <a:cs typeface="+mn-cs"/>
            </a:rPr>
            <a:t> (MSSA) Infection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$15,578</a:t>
          </a:r>
          <a:r>
            <a:rPr lang="en-US" sz="1100" b="0" i="0" u="none" strike="noStrike">
              <a:solidFill>
                <a:schemeClr val="dk1"/>
              </a:solidFill>
              <a:effectLst/>
              <a:latin typeface="+mn-lt"/>
              <a:ea typeface="+mn-ea"/>
              <a:cs typeface="+mn-cs"/>
            </a:rPr>
            <a:t> is verified as the propensity score-adjusted cost for </a:t>
          </a:r>
          <a:r>
            <a:rPr lang="en-US" sz="1100" b="0" i="1" u="none" strike="noStrike">
              <a:solidFill>
                <a:schemeClr val="dk1"/>
              </a:solidFill>
              <a:effectLst/>
              <a:latin typeface="+mn-lt"/>
              <a:ea typeface="+mn-ea"/>
              <a:cs typeface="+mn-cs"/>
            </a:rPr>
            <a:t>unspecified</a:t>
          </a:r>
          <a:r>
            <a:rPr lang="en-US" sz="1100" b="0" i="0" u="none" strike="noStrike">
              <a:solidFill>
                <a:schemeClr val="dk1"/>
              </a:solidFill>
              <a:effectLst/>
              <a:latin typeface="+mn-lt"/>
              <a:ea typeface="+mn-ea"/>
              <a:cs typeface="+mn-cs"/>
            </a:rPr>
            <a:t> MSSA hospitalizations (excluding those resulting in death) from the same Klein et al. (2018) study.</a:t>
          </a:r>
          <a:r>
            <a:rPr lang="en-US" sz="1100" b="0" i="0" u="none" strike="noStrike" baseline="30000">
              <a:solidFill>
                <a:schemeClr val="dk1"/>
              </a:solidFill>
              <a:effectLst/>
              <a:latin typeface="+mn-lt"/>
              <a:ea typeface="+mn-ea"/>
              <a:cs typeface="+mn-cs"/>
            </a:rPr>
            <a:t>31</a:t>
          </a:r>
          <a:r>
            <a:rPr lang="en-US" sz="1100" b="0" i="0" u="none" strike="noStrike">
              <a:solidFill>
                <a:schemeClr val="dk1"/>
              </a:solidFill>
              <a:effectLst/>
              <a:latin typeface="+mn-lt"/>
              <a:ea typeface="+mn-ea"/>
              <a:cs typeface="+mn-cs"/>
            </a:rPr>
            <a:t> This finding suggests that after adjusting for patient and hospital characteristics, the costs for unspecified MSSA infections were statistically similar to, or slightly higher than, those for unspecified MRSA infections in this dataset.</a:t>
          </a:r>
        </a:p>
        <a:p>
          <a:pPr rtl="0" fontAlgn="base"/>
          <a:r>
            <a:rPr lang="en-US" sz="1100" b="1" i="0" u="none" strike="noStrike">
              <a:solidFill>
                <a:schemeClr val="dk1"/>
              </a:solidFill>
              <a:effectLst/>
              <a:latin typeface="+mn-lt"/>
              <a:ea typeface="+mn-ea"/>
              <a:cs typeface="+mn-cs"/>
            </a:rPr>
            <a:t>MRSA Pneumonia</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$38,500</a:t>
          </a:r>
          <a:r>
            <a:rPr lang="en-US" sz="1100" b="0" i="0" u="none" strike="noStrike">
              <a:solidFill>
                <a:schemeClr val="dk1"/>
              </a:solidFill>
              <a:effectLst/>
              <a:latin typeface="+mn-lt"/>
              <a:ea typeface="+mn-ea"/>
              <a:cs typeface="+mn-cs"/>
            </a:rPr>
            <a:t> (rounded from $38,561) is verified as the propensity score-adjusted cost for MRSA-related pneumonia hospitalizations from the Klein et al. (2018) study.</a:t>
          </a:r>
          <a:r>
            <a:rPr lang="en-US" sz="1100" b="0" i="0" u="none" strike="noStrike" baseline="30000">
              <a:solidFill>
                <a:schemeClr val="dk1"/>
              </a:solidFill>
              <a:effectLst/>
              <a:latin typeface="+mn-lt"/>
              <a:ea typeface="+mn-ea"/>
              <a:cs typeface="+mn-cs"/>
            </a:rPr>
            <a:t>31</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MSSA Pneumonia</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$40,700</a:t>
          </a:r>
          <a:r>
            <a:rPr lang="en-US" sz="1100" b="0" i="0" u="none" strike="noStrike">
              <a:solidFill>
                <a:schemeClr val="dk1"/>
              </a:solidFill>
              <a:effectLst/>
              <a:latin typeface="+mn-lt"/>
              <a:ea typeface="+mn-ea"/>
              <a:cs typeface="+mn-cs"/>
            </a:rPr>
            <a:t> (rounded from $40,725) is verified as the propensity score-adjusted cost for MSSA-related pneumonia hospitalizations from the Klein et al. (2018) study.</a:t>
          </a:r>
          <a:r>
            <a:rPr lang="en-US" sz="1100" b="0" i="0" u="none" strike="noStrike" baseline="30000">
              <a:solidFill>
                <a:schemeClr val="dk1"/>
              </a:solidFill>
              <a:effectLst/>
              <a:latin typeface="+mn-lt"/>
              <a:ea typeface="+mn-ea"/>
              <a:cs typeface="+mn-cs"/>
            </a:rPr>
            <a:t>31</a:t>
          </a:r>
          <a:r>
            <a:rPr lang="en-US" sz="1100" b="0" i="0" u="none" strike="noStrike">
              <a:solidFill>
                <a:schemeClr val="dk1"/>
              </a:solidFill>
              <a:effectLst/>
              <a:latin typeface="+mn-lt"/>
              <a:ea typeface="+mn-ea"/>
              <a:cs typeface="+mn-cs"/>
            </a:rPr>
            <a:t> This study found that, after adjustment, MSSA pneumonia hospitalizations were significantly more costly than MRSA pneumonia hospitalizations ($40,725 vs $38,561, P =.045) in 2014.</a:t>
          </a:r>
          <a:r>
            <a:rPr lang="en-US" sz="1100" b="0" i="0" u="none" strike="noStrike" baseline="30000">
              <a:solidFill>
                <a:schemeClr val="dk1"/>
              </a:solidFill>
              <a:effectLst/>
              <a:latin typeface="+mn-lt"/>
              <a:ea typeface="+mn-ea"/>
              <a:cs typeface="+mn-cs"/>
            </a:rPr>
            <a:t>31</a:t>
          </a:r>
          <a:r>
            <a:rPr lang="en-US" sz="1100" b="0" i="0" u="none" strike="noStrike">
              <a:solidFill>
                <a:schemeClr val="dk1"/>
              </a:solidFill>
              <a:effectLst/>
              <a:latin typeface="+mn-lt"/>
              <a:ea typeface="+mn-ea"/>
              <a:cs typeface="+mn-cs"/>
            </a:rPr>
            <a:t> This finding contrasts with the common assumption that resistance always leads to higher costs and underscores the importance of pathogen-specific cost analyses.</a:t>
          </a:r>
        </a:p>
        <a:p>
          <a:pPr rtl="0" fontAlgn="base"/>
          <a:r>
            <a:rPr lang="en-US" sz="1100" b="1" i="0" u="none" strike="noStrike">
              <a:solidFill>
                <a:schemeClr val="dk1"/>
              </a:solidFill>
              <a:effectLst/>
              <a:latin typeface="+mn-lt"/>
              <a:ea typeface="+mn-ea"/>
              <a:cs typeface="+mn-cs"/>
            </a:rPr>
            <a:t>Vancomycin-Resistant Enterococci (VRE)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$17,949</a:t>
          </a:r>
          <a:r>
            <a:rPr lang="en-US" sz="1100" b="0" i="0" u="none" strike="noStrike">
              <a:solidFill>
                <a:schemeClr val="dk1"/>
              </a:solidFill>
              <a:effectLst/>
              <a:latin typeface="+mn-lt"/>
              <a:ea typeface="+mn-ea"/>
              <a:cs typeface="+mn-cs"/>
            </a:rPr>
            <a:t> is verified as the estimated mean increase in cost per patient associated with VRE, as reported by Lloyd-Smith et al. (2013).</a:t>
          </a:r>
          <a:r>
            <a:rPr lang="en-US" sz="1100" b="0" i="0" u="none" strike="noStrike" baseline="30000">
              <a:solidFill>
                <a:schemeClr val="dk1"/>
              </a:solidFill>
              <a:effectLst/>
              <a:latin typeface="+mn-lt"/>
              <a:ea typeface="+mn-ea"/>
              <a:cs typeface="+mn-cs"/>
            </a:rPr>
            <a:t>37</a:t>
          </a:r>
          <a:r>
            <a:rPr lang="en-US" sz="1100" b="0" i="0" u="none" strike="noStrike">
              <a:solidFill>
                <a:schemeClr val="dk1"/>
              </a:solidFill>
              <a:effectLst/>
              <a:latin typeface="+mn-lt"/>
              <a:ea typeface="+mn-ea"/>
              <a:cs typeface="+mn-cs"/>
            </a:rPr>
            <a:t> However, it is crucial to note that this study was conducted in a </a:t>
          </a:r>
          <a:r>
            <a:rPr lang="en-US" sz="1100" b="1" i="0" u="none" strike="noStrike">
              <a:solidFill>
                <a:schemeClr val="dk1"/>
              </a:solidFill>
              <a:effectLst/>
              <a:latin typeface="+mn-lt"/>
              <a:ea typeface="+mn-ea"/>
              <a:cs typeface="+mn-cs"/>
            </a:rPr>
            <a:t>Canadian</a:t>
          </a:r>
          <a:r>
            <a:rPr lang="en-US" sz="1100" b="0" i="0" u="none" strike="noStrike">
              <a:solidFill>
                <a:schemeClr val="dk1"/>
              </a:solidFill>
              <a:effectLst/>
              <a:latin typeface="+mn-lt"/>
              <a:ea typeface="+mn-ea"/>
              <a:cs typeface="+mn-cs"/>
            </a:rPr>
            <a:t> hospital, and the reported cost is in </a:t>
          </a:r>
          <a:r>
            <a:rPr lang="en-US" sz="1100" b="1" i="0" u="none" strike="noStrike">
              <a:solidFill>
                <a:schemeClr val="dk1"/>
              </a:solidFill>
              <a:effectLst/>
              <a:latin typeface="+mn-lt"/>
              <a:ea typeface="+mn-ea"/>
              <a:cs typeface="+mn-cs"/>
            </a:rPr>
            <a:t>2008-2009 Canadian dollars</a:t>
          </a:r>
          <a:r>
            <a:rPr lang="en-US" sz="1100" b="0" i="0" u="none" strike="noStrike">
              <a:solidFill>
                <a:schemeClr val="dk1"/>
              </a:solidFill>
              <a:effectLst/>
              <a:latin typeface="+mn-lt"/>
              <a:ea typeface="+mn-ea"/>
              <a:cs typeface="+mn-cs"/>
            </a:rPr>
            <a:t>. While numerous US-based studies confirm that VRE infections are associated with substantial costs and increased length of stay </a:t>
          </a:r>
          <a:r>
            <a:rPr lang="en-US" sz="1100" b="0" i="0" u="none" strike="noStrike" baseline="30000">
              <a:solidFill>
                <a:schemeClr val="dk1"/>
              </a:solidFill>
              <a:effectLst/>
              <a:latin typeface="+mn-lt"/>
              <a:ea typeface="+mn-ea"/>
              <a:cs typeface="+mn-cs"/>
            </a:rPr>
            <a:t>38</a:t>
          </a:r>
          <a:r>
            <a:rPr lang="en-US" sz="1100" b="0" i="0" u="none" strike="noStrike">
              <a:solidFill>
                <a:schemeClr val="dk1"/>
              </a:solidFill>
              <a:effectLst/>
              <a:latin typeface="+mn-lt"/>
              <a:ea typeface="+mn-ea"/>
              <a:cs typeface="+mn-cs"/>
            </a:rPr>
            <a:t>, this specific figure originates from a Canadian context and currency.</a:t>
          </a:r>
        </a:p>
        <a:p>
          <a:pPr rtl="0" fontAlgn="base"/>
          <a:r>
            <a:rPr lang="en-US" sz="1100" b="1" i="0" u="none" strike="noStrike">
              <a:solidFill>
                <a:schemeClr val="dk1"/>
              </a:solidFill>
              <a:effectLst/>
              <a:latin typeface="+mn-lt"/>
              <a:ea typeface="+mn-ea"/>
              <a:cs typeface="+mn-cs"/>
            </a:rPr>
            <a:t>Hospital-Acquired Pressure Ulcer (HAPU) Stage IV</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$129,240</a:t>
          </a:r>
          <a:r>
            <a:rPr lang="en-US" sz="1100" b="0" i="0" u="none" strike="noStrike">
              <a:solidFill>
                <a:schemeClr val="dk1"/>
              </a:solidFill>
              <a:effectLst/>
              <a:latin typeface="+mn-lt"/>
              <a:ea typeface="+mn-ea"/>
              <a:cs typeface="+mn-cs"/>
            </a:rPr>
            <a:t> (rounded from $129,248) is verified as the average hospital treatment cost associated with </a:t>
          </a:r>
          <a:r>
            <a:rPr lang="en-US" sz="1100" b="0" i="1" u="none" strike="noStrike">
              <a:solidFill>
                <a:schemeClr val="dk1"/>
              </a:solidFill>
              <a:effectLst/>
              <a:latin typeface="+mn-lt"/>
              <a:ea typeface="+mn-ea"/>
              <a:cs typeface="+mn-cs"/>
            </a:rPr>
            <a:t>hospital-acquired</a:t>
          </a:r>
          <a:r>
            <a:rPr lang="en-US" sz="1100" b="0" i="0" u="none" strike="noStrike">
              <a:solidFill>
                <a:schemeClr val="dk1"/>
              </a:solidFill>
              <a:effectLst/>
              <a:latin typeface="+mn-lt"/>
              <a:ea typeface="+mn-ea"/>
              <a:cs typeface="+mn-cs"/>
            </a:rPr>
            <a:t> Stage IV pressure ulcers during a single admission, reported by Brem et al. (2010).</a:t>
          </a:r>
          <a:r>
            <a:rPr lang="en-US" sz="1100" b="0" i="0" u="none" strike="noStrike" baseline="30000">
              <a:solidFill>
                <a:schemeClr val="dk1"/>
              </a:solidFill>
              <a:effectLst/>
              <a:latin typeface="+mn-lt"/>
              <a:ea typeface="+mn-ea"/>
              <a:cs typeface="+mn-cs"/>
            </a:rPr>
            <a:t>46</a:t>
          </a:r>
          <a:r>
            <a:rPr lang="en-US" sz="1100" b="0" i="0" u="none" strike="noStrike">
              <a:solidFill>
                <a:schemeClr val="dk1"/>
              </a:solidFill>
              <a:effectLst/>
              <a:latin typeface="+mn-lt"/>
              <a:ea typeface="+mn-ea"/>
              <a:cs typeface="+mn-cs"/>
            </a:rPr>
            <a:t> This figure is also cited in a later review.</a:t>
          </a:r>
          <a:r>
            <a:rPr lang="en-US" sz="1100" b="0" i="0" u="none" strike="noStrike" baseline="30000">
              <a:solidFill>
                <a:schemeClr val="dk1"/>
              </a:solidFill>
              <a:effectLst/>
              <a:latin typeface="+mn-lt"/>
              <a:ea typeface="+mn-ea"/>
              <a:cs typeface="+mn-cs"/>
            </a:rPr>
            <a:t>48</a:t>
          </a:r>
          <a:r>
            <a:rPr lang="en-US" sz="1100" b="0" i="0" u="none" strike="noStrike">
              <a:solidFill>
                <a:schemeClr val="dk1"/>
              </a:solidFill>
              <a:effectLst/>
              <a:latin typeface="+mn-lt"/>
              <a:ea typeface="+mn-ea"/>
              <a:cs typeface="+mn-cs"/>
            </a:rPr>
            <a:t> It represents the high end of pressure ulcer cost estimates. Other sources report lower average costs for pressure ulcers generally (AHRQ meta-analysis: $14,506 </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or different estimates for severe ulcers (CMS estimate ~$43k </a:t>
          </a:r>
          <a:r>
            <a:rPr lang="en-US" sz="1100" b="0" i="0" u="none" strike="noStrike" baseline="30000">
              <a:solidFill>
                <a:schemeClr val="dk1"/>
              </a:solidFill>
              <a:effectLst/>
              <a:latin typeface="+mn-lt"/>
              <a:ea typeface="+mn-ea"/>
              <a:cs typeface="+mn-cs"/>
            </a:rPr>
            <a:t>49</a:t>
          </a:r>
          <a:r>
            <a:rPr lang="en-US" sz="1100" b="0" i="0" u="none" strike="noStrike">
              <a:solidFill>
                <a:schemeClr val="dk1"/>
              </a:solidFill>
              <a:effectLst/>
              <a:latin typeface="+mn-lt"/>
              <a:ea typeface="+mn-ea"/>
              <a:cs typeface="+mn-cs"/>
            </a:rPr>
            <a:t>; range $21k-$152k per ulcer </a:t>
          </a:r>
          <a:r>
            <a:rPr lang="en-US" sz="1100" b="0" i="0" u="none" strike="noStrike" baseline="30000">
              <a:solidFill>
                <a:schemeClr val="dk1"/>
              </a:solidFill>
              <a:effectLst/>
              <a:latin typeface="+mn-lt"/>
              <a:ea typeface="+mn-ea"/>
              <a:cs typeface="+mn-cs"/>
            </a:rPr>
            <a:t>50</a:t>
          </a:r>
          <a:r>
            <a:rPr lang="en-US" sz="1100" b="0" i="0" u="none" strike="noStrike">
              <a:solidFill>
                <a:schemeClr val="dk1"/>
              </a:solidFill>
              <a:effectLst/>
              <a:latin typeface="+mn-lt"/>
              <a:ea typeface="+mn-ea"/>
              <a:cs typeface="+mn-cs"/>
            </a:rPr>
            <a:t>). The Brem et al. figure is specific to Stage IV HAPUs from a single study and highlights the extreme cost potential of the most severe pressure injuries. The general </a:t>
          </a:r>
          <a:r>
            <a:rPr lang="en-US" sz="1100" b="1" i="0" u="none" strike="noStrike">
              <a:solidFill>
                <a:schemeClr val="dk1"/>
              </a:solidFill>
              <a:effectLst/>
              <a:latin typeface="+mn-lt"/>
              <a:ea typeface="+mn-ea"/>
              <a:cs typeface="+mn-cs"/>
            </a:rPr>
            <a:t>HAPU</a:t>
          </a:r>
          <a:r>
            <a:rPr lang="en-US" sz="1100" b="0" i="0" u="none" strike="noStrike">
              <a:solidFill>
                <a:schemeClr val="dk1"/>
              </a:solidFill>
              <a:effectLst/>
              <a:latin typeface="+mn-lt"/>
              <a:ea typeface="+mn-ea"/>
              <a:cs typeface="+mn-cs"/>
            </a:rPr>
            <a:t> item provided without a cost figure likely refers to the broader category, for which the AHRQ meta-analysis estimate of $14,506 </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or the CMS estimate of ~$43,000 </a:t>
          </a:r>
          <a:r>
            <a:rPr lang="en-US" sz="1100" b="0" i="0" u="none" strike="noStrike" baseline="30000">
              <a:solidFill>
                <a:schemeClr val="dk1"/>
              </a:solidFill>
              <a:effectLst/>
              <a:latin typeface="+mn-lt"/>
              <a:ea typeface="+mn-ea"/>
              <a:cs typeface="+mn-cs"/>
            </a:rPr>
            <a:t>49</a:t>
          </a:r>
          <a:r>
            <a:rPr lang="en-US" sz="1100" b="0" i="0" u="none" strike="noStrike">
              <a:solidFill>
                <a:schemeClr val="dk1"/>
              </a:solidFill>
              <a:effectLst/>
              <a:latin typeface="+mn-lt"/>
              <a:ea typeface="+mn-ea"/>
              <a:cs typeface="+mn-cs"/>
            </a:rPr>
            <a:t> might be relevant, depending on context.</a:t>
          </a:r>
        </a:p>
        <a:p>
          <a:pPr rtl="0"/>
          <a:r>
            <a:rPr lang="en-US" sz="1100" b="1" i="0" u="none" strike="noStrike">
              <a:solidFill>
                <a:schemeClr val="dk1"/>
              </a:solidFill>
              <a:effectLst/>
              <a:latin typeface="+mn-lt"/>
              <a:ea typeface="+mn-ea"/>
              <a:cs typeface="+mn-cs"/>
            </a:rPr>
            <a:t>Analysis of Specific Medical Events and Services</a:t>
          </a:r>
          <a:endParaRPr lang="en-US" b="1">
            <a:effectLst/>
          </a:endParaRPr>
        </a:p>
        <a:p>
          <a:pPr rtl="0"/>
          <a:r>
            <a:rPr lang="en-US" sz="1100" b="0" i="0" u="none" strike="noStrike">
              <a:solidFill>
                <a:schemeClr val="dk1"/>
              </a:solidFill>
              <a:effectLst/>
              <a:latin typeface="+mn-lt"/>
              <a:ea typeface="+mn-ea"/>
              <a:cs typeface="+mn-cs"/>
            </a:rPr>
            <a:t>This section examines the verification status of costs associated with discrete medical events, procedures, and services.</a:t>
          </a:r>
          <a:endParaRPr lang="en-US" b="0">
            <a:effectLst/>
          </a:endParaRPr>
        </a:p>
        <a:p>
          <a:pPr rtl="0" fontAlgn="base"/>
          <a:r>
            <a:rPr lang="en-US" sz="1100" b="1" i="0" u="none" strike="noStrike">
              <a:solidFill>
                <a:schemeClr val="dk1"/>
              </a:solidFill>
              <a:effectLst/>
              <a:latin typeface="+mn-lt"/>
              <a:ea typeface="+mn-ea"/>
              <a:cs typeface="+mn-cs"/>
            </a:rPr>
            <a:t>Adverse Drug Event (ADE)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$5,746</a:t>
          </a:r>
          <a:r>
            <a:rPr lang="en-US" sz="1100" b="0" i="0" u="none" strike="noStrike">
              <a:solidFill>
                <a:schemeClr val="dk1"/>
              </a:solidFill>
              <a:effectLst/>
              <a:latin typeface="+mn-lt"/>
              <a:ea typeface="+mn-ea"/>
              <a:cs typeface="+mn-cs"/>
            </a:rPr>
            <a:t> is verified as the estimated additional cost per ADE case from the 2017 AHRQ meta-analysis.</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However, this estimate is based on only two studies, primarily focused on opioid-related ADEs, and has a wide confidence interval (-$3,950–$15,441) that includes zero, indicating statistical uncertainty about the additional cost.</a:t>
          </a:r>
          <a:r>
            <a:rPr lang="en-US" sz="1100" b="0" i="0" u="none" strike="noStrike" baseline="30000">
              <a:solidFill>
                <a:schemeClr val="dk1"/>
              </a:solidFill>
              <a:effectLst/>
              <a:latin typeface="+mn-lt"/>
              <a:ea typeface="+mn-ea"/>
              <a:cs typeface="+mn-cs"/>
            </a:rPr>
            <a:t>5</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Anesthesia</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$755</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without further context. Anesthesia costs vary dramatically based on the type of anesthesia (local, regional, general), duration of the procedure, patient complexity, facility type (hospital vs. ambulatory surgery center), and geographic location.</a:t>
          </a:r>
          <a:r>
            <a:rPr lang="en-US" sz="1100" b="0" i="0" u="none" strike="noStrike" baseline="30000">
              <a:solidFill>
                <a:schemeClr val="dk1"/>
              </a:solidFill>
              <a:effectLst/>
              <a:latin typeface="+mn-lt"/>
              <a:ea typeface="+mn-ea"/>
              <a:cs typeface="+mn-cs"/>
            </a:rPr>
            <a:t>51</a:t>
          </a:r>
          <a:r>
            <a:rPr lang="en-US" sz="1100" b="0" i="0" u="none" strike="noStrike">
              <a:solidFill>
                <a:schemeClr val="dk1"/>
              </a:solidFill>
              <a:effectLst/>
              <a:latin typeface="+mn-lt"/>
              <a:ea typeface="+mn-ea"/>
              <a:cs typeface="+mn-cs"/>
            </a:rPr>
            <a:t> Cited examples range from under $100 per surgery at some hospitals </a:t>
          </a:r>
          <a:r>
            <a:rPr lang="en-US" sz="1100" b="0" i="0" u="none" strike="noStrike" baseline="30000">
              <a:solidFill>
                <a:schemeClr val="dk1"/>
              </a:solidFill>
              <a:effectLst/>
              <a:latin typeface="+mn-lt"/>
              <a:ea typeface="+mn-ea"/>
              <a:cs typeface="+mn-cs"/>
            </a:rPr>
            <a:t>52</a:t>
          </a:r>
          <a:r>
            <a:rPr lang="en-US" sz="1100" b="0" i="0" u="none" strike="noStrike">
              <a:solidFill>
                <a:schemeClr val="dk1"/>
              </a:solidFill>
              <a:effectLst/>
              <a:latin typeface="+mn-lt"/>
              <a:ea typeface="+mn-ea"/>
              <a:cs typeface="+mn-cs"/>
            </a:rPr>
            <a:t> to $999 for an ACL repair </a:t>
          </a:r>
          <a:r>
            <a:rPr lang="en-US" sz="1100" b="0" i="0" u="none" strike="noStrike" baseline="30000">
              <a:solidFill>
                <a:schemeClr val="dk1"/>
              </a:solidFill>
              <a:effectLst/>
              <a:latin typeface="+mn-lt"/>
              <a:ea typeface="+mn-ea"/>
              <a:cs typeface="+mn-cs"/>
            </a:rPr>
            <a:t>53</a:t>
          </a:r>
          <a:r>
            <a:rPr lang="en-US" sz="1100" b="0" i="0" u="none" strike="noStrike">
              <a:solidFill>
                <a:schemeClr val="dk1"/>
              </a:solidFill>
              <a:effectLst/>
              <a:latin typeface="+mn-lt"/>
              <a:ea typeface="+mn-ea"/>
              <a:cs typeface="+mn-cs"/>
            </a:rPr>
            <a:t>, $400-$1000+ for common procedures </a:t>
          </a:r>
          <a:r>
            <a:rPr lang="en-US" sz="1100" b="0" i="0" u="none" strike="noStrike" baseline="30000">
              <a:solidFill>
                <a:schemeClr val="dk1"/>
              </a:solidFill>
              <a:effectLst/>
              <a:latin typeface="+mn-lt"/>
              <a:ea typeface="+mn-ea"/>
              <a:cs typeface="+mn-cs"/>
            </a:rPr>
            <a:t>51</a:t>
          </a:r>
          <a:r>
            <a:rPr lang="en-US" sz="1100" b="0" i="0" u="none" strike="noStrike">
              <a:solidFill>
                <a:schemeClr val="dk1"/>
              </a:solidFill>
              <a:effectLst/>
              <a:latin typeface="+mn-lt"/>
              <a:ea typeface="+mn-ea"/>
              <a:cs typeface="+mn-cs"/>
            </a:rPr>
            <a:t>, and up to $15,000 or more for complex surgeries.</a:t>
          </a:r>
          <a:r>
            <a:rPr lang="en-US" sz="1100" b="0" i="0" u="none" strike="noStrike" baseline="30000">
              <a:solidFill>
                <a:schemeClr val="dk1"/>
              </a:solidFill>
              <a:effectLst/>
              <a:latin typeface="+mn-lt"/>
              <a:ea typeface="+mn-ea"/>
              <a:cs typeface="+mn-cs"/>
            </a:rPr>
            <a:t>51</a:t>
          </a:r>
          <a:r>
            <a:rPr lang="en-US" sz="1100" b="0" i="0" u="none" strike="noStrike">
              <a:solidFill>
                <a:schemeClr val="dk1"/>
              </a:solidFill>
              <a:effectLst/>
              <a:latin typeface="+mn-lt"/>
              <a:ea typeface="+mn-ea"/>
              <a:cs typeface="+mn-cs"/>
            </a:rPr>
            <a:t> While $755 is plausible for a shorter, less complex procedure requiring anesthesia, its source and the specific context it represents are unclear from the provided materials.</a:t>
          </a:r>
        </a:p>
        <a:p>
          <a:pPr rtl="0" fontAlgn="base"/>
          <a:r>
            <a:rPr lang="en-US" sz="1100" b="1" i="0" u="none" strike="noStrike">
              <a:solidFill>
                <a:schemeClr val="dk1"/>
              </a:solidFill>
              <a:effectLst/>
              <a:latin typeface="+mn-lt"/>
              <a:ea typeface="+mn-ea"/>
              <a:cs typeface="+mn-cs"/>
            </a:rPr>
            <a:t>Blood Culture Costs</a:t>
          </a:r>
          <a:r>
            <a:rPr lang="en-US" sz="1100" b="0" i="0" u="none" strike="noStrike">
              <a:solidFill>
                <a:schemeClr val="dk1"/>
              </a:solidFill>
              <a:effectLst/>
              <a:latin typeface="+mn-lt"/>
              <a:ea typeface="+mn-ea"/>
              <a:cs typeface="+mn-cs"/>
            </a:rPr>
            <a:t>: The figures provided for blood culture episodes appear to originate from a 2019 cost-effectiveness modeling study by Skoglund et al. evaluating an initial specimen diversion device (ISDD).</a:t>
          </a:r>
          <a:r>
            <a:rPr lang="en-US" sz="1100" b="0" i="0" u="none" strike="noStrike" baseline="30000">
              <a:solidFill>
                <a:schemeClr val="dk1"/>
              </a:solidFill>
              <a:effectLst/>
              <a:latin typeface="+mn-lt"/>
              <a:ea typeface="+mn-ea"/>
              <a:cs typeface="+mn-cs"/>
            </a:rPr>
            <a:t>55</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Blood Culture - Episode ($9,130)</a:t>
          </a:r>
          <a:r>
            <a:rPr lang="en-US" sz="1100" b="0" i="0" u="none" strike="noStrike">
              <a:solidFill>
                <a:schemeClr val="dk1"/>
              </a:solidFill>
              <a:effectLst/>
              <a:latin typeface="+mn-lt"/>
              <a:ea typeface="+mn-ea"/>
              <a:cs typeface="+mn-cs"/>
            </a:rPr>
            <a:t>: This figure is verified as the study's calculated total expected cost for a blood culture patient episode </a:t>
          </a:r>
          <a:r>
            <a:rPr lang="en-US" sz="1100" b="0" i="1" u="none" strike="noStrike">
              <a:solidFill>
                <a:schemeClr val="dk1"/>
              </a:solidFill>
              <a:effectLst/>
              <a:latin typeface="+mn-lt"/>
              <a:ea typeface="+mn-ea"/>
              <a:cs typeface="+mn-cs"/>
            </a:rPr>
            <a:t>without</a:t>
          </a:r>
          <a:r>
            <a:rPr lang="en-US" sz="1100" b="0" i="0" u="none" strike="noStrike">
              <a:solidFill>
                <a:schemeClr val="dk1"/>
              </a:solidFill>
              <a:effectLst/>
              <a:latin typeface="+mn-lt"/>
              <a:ea typeface="+mn-ea"/>
              <a:cs typeface="+mn-cs"/>
            </a:rPr>
            <a:t> using an ISDD and </a:t>
          </a:r>
          <a:r>
            <a:rPr lang="en-US" sz="1100" b="0" i="1" u="none" strike="noStrike">
              <a:solidFill>
                <a:schemeClr val="dk1"/>
              </a:solidFill>
              <a:effectLst/>
              <a:latin typeface="+mn-lt"/>
              <a:ea typeface="+mn-ea"/>
              <a:cs typeface="+mn-cs"/>
            </a:rPr>
            <a:t>without</a:t>
          </a:r>
          <a:r>
            <a:rPr lang="en-US" sz="1100" b="0" i="0" u="none" strike="noStrike">
              <a:solidFill>
                <a:schemeClr val="dk1"/>
              </a:solidFill>
              <a:effectLst/>
              <a:latin typeface="+mn-lt"/>
              <a:ea typeface="+mn-ea"/>
              <a:cs typeface="+mn-cs"/>
            </a:rPr>
            <a:t> rapid diagnostic testing (RDT) capabilities, assuming a baseline contamination rate of 6%.</a:t>
          </a:r>
          <a:r>
            <a:rPr lang="en-US" sz="1100" b="0" i="0" u="none" strike="noStrike" baseline="30000">
              <a:solidFill>
                <a:schemeClr val="dk1"/>
              </a:solidFill>
              <a:effectLst/>
              <a:latin typeface="+mn-lt"/>
              <a:ea typeface="+mn-ea"/>
              <a:cs typeface="+mn-cs"/>
            </a:rPr>
            <a:t>56</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Blood Culture - Contaminated ($4,253)</a:t>
          </a:r>
          <a:r>
            <a:rPr lang="en-US" sz="1100" b="0" i="0" u="none" strike="noStrike">
              <a:solidFill>
                <a:schemeClr val="dk1"/>
              </a:solidFill>
              <a:effectLst/>
              <a:latin typeface="+mn-lt"/>
              <a:ea typeface="+mn-ea"/>
              <a:cs typeface="+mn-cs"/>
            </a:rPr>
            <a:t>: This figure is verified as the study's calculated </a:t>
          </a:r>
          <a:r>
            <a:rPr lang="en-US" sz="1100" b="0" i="1" u="none" strike="noStrike">
              <a:solidFill>
                <a:schemeClr val="dk1"/>
              </a:solidFill>
              <a:effectLst/>
              <a:latin typeface="+mn-lt"/>
              <a:ea typeface="+mn-ea"/>
              <a:cs typeface="+mn-cs"/>
            </a:rPr>
            <a:t>attributable</a:t>
          </a:r>
          <a:r>
            <a:rPr lang="en-US" sz="1100" b="0" i="0" u="none" strike="noStrike">
              <a:solidFill>
                <a:schemeClr val="dk1"/>
              </a:solidFill>
              <a:effectLst/>
              <a:latin typeface="+mn-lt"/>
              <a:ea typeface="+mn-ea"/>
              <a:cs typeface="+mn-cs"/>
            </a:rPr>
            <a:t> hospital cost (indirect costs like increased length of stay, additional tests/treatments) associated with a contaminated blood culture compared to a negative one.</a:t>
          </a:r>
          <a:r>
            <a:rPr lang="en-US" sz="1100" b="0" i="0" u="none" strike="noStrike" baseline="30000">
              <a:solidFill>
                <a:schemeClr val="dk1"/>
              </a:solidFill>
              <a:effectLst/>
              <a:latin typeface="+mn-lt"/>
              <a:ea typeface="+mn-ea"/>
              <a:cs typeface="+mn-cs"/>
            </a:rPr>
            <a:t>55</a:t>
          </a:r>
          <a:r>
            <a:rPr lang="en-US" sz="1100" b="0" i="0" u="none" strike="noStrike">
              <a:solidFill>
                <a:schemeClr val="dk1"/>
              </a:solidFill>
              <a:effectLst/>
              <a:latin typeface="+mn-lt"/>
              <a:ea typeface="+mn-ea"/>
              <a:cs typeface="+mn-cs"/>
            </a:rPr>
            <a:t> It represents the additional financial burden imposed by the contamination itself. Other studies also note significant additional charges ($8,720) or costs ($1,000+) associated with contamination.</a:t>
          </a:r>
          <a:r>
            <a:rPr lang="en-US" sz="1100" b="0" i="0" u="none" strike="noStrike" baseline="30000">
              <a:solidFill>
                <a:schemeClr val="dk1"/>
              </a:solidFill>
              <a:effectLst/>
              <a:latin typeface="+mn-lt"/>
              <a:ea typeface="+mn-ea"/>
              <a:cs typeface="+mn-cs"/>
            </a:rPr>
            <a:t>57</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Blood Culture - Negative ($7,873)</a:t>
          </a:r>
          <a:r>
            <a:rPr lang="en-US" sz="1100" b="0" i="0" u="none" strike="noStrike">
              <a:solidFill>
                <a:schemeClr val="dk1"/>
              </a:solidFill>
              <a:effectLst/>
              <a:latin typeface="+mn-lt"/>
              <a:ea typeface="+mn-ea"/>
              <a:cs typeface="+mn-cs"/>
            </a:rPr>
            <a:t>: This figure is verified as the study's calculated baseline hospital cost (indirect) for an episode resulting in a negative blood culture.</a:t>
          </a:r>
          <a:r>
            <a:rPr lang="en-US" sz="1100" b="0" i="0" u="none" strike="noStrike" baseline="30000">
              <a:solidFill>
                <a:schemeClr val="dk1"/>
              </a:solidFill>
              <a:effectLst/>
              <a:latin typeface="+mn-lt"/>
              <a:ea typeface="+mn-ea"/>
              <a:cs typeface="+mn-cs"/>
            </a:rPr>
            <a:t>55</a:t>
          </a:r>
          <a:r>
            <a:rPr lang="en-US" sz="1100" b="0" i="0" u="none" strike="noStrike">
              <a:solidFill>
                <a:schemeClr val="dk1"/>
              </a:solidFill>
              <a:effectLst/>
              <a:latin typeface="+mn-lt"/>
              <a:ea typeface="+mn-ea"/>
              <a:cs typeface="+mn-cs"/>
            </a:rPr>
            <a:t> This serves as the reference point against which the costs of contaminated or positive cultures are compared in the model.</a:t>
          </a:r>
        </a:p>
        <a:p>
          <a:pPr rtl="0" fontAlgn="base"/>
          <a:r>
            <a:rPr lang="en-US" sz="1100" b="1" i="0" u="none" strike="noStrike">
              <a:solidFill>
                <a:schemeClr val="dk1"/>
              </a:solidFill>
              <a:effectLst/>
              <a:latin typeface="+mn-lt"/>
              <a:ea typeface="+mn-ea"/>
              <a:cs typeface="+mn-cs"/>
            </a:rPr>
            <a:t>Emergency Room (ER) Visit</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$2,096</a:t>
          </a:r>
          <a:r>
            <a:rPr lang="en-US" sz="1100" b="0" i="0" u="none" strike="noStrike">
              <a:solidFill>
                <a:schemeClr val="dk1"/>
              </a:solidFill>
              <a:effectLst/>
              <a:latin typeface="+mn-lt"/>
              <a:ea typeface="+mn-ea"/>
              <a:cs typeface="+mn-cs"/>
            </a:rPr>
            <a:t> represents a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compared to recent national averages for treat-and-release ED visits reported by AHRQ HCUP. HCUP Statistical Briefs indicate the average cost per treat-and-release ED visit was $530 in 2017 </a:t>
          </a:r>
          <a:r>
            <a:rPr lang="en-US" sz="1100" b="0" i="0" u="none" strike="noStrike" baseline="30000">
              <a:solidFill>
                <a:schemeClr val="dk1"/>
              </a:solidFill>
              <a:effectLst/>
              <a:latin typeface="+mn-lt"/>
              <a:ea typeface="+mn-ea"/>
              <a:cs typeface="+mn-cs"/>
            </a:rPr>
            <a:t>59</a:t>
          </a:r>
          <a:r>
            <a:rPr lang="en-US" sz="1100" b="0" i="0" u="none" strike="noStrike">
              <a:solidFill>
                <a:schemeClr val="dk1"/>
              </a:solidFill>
              <a:effectLst/>
              <a:latin typeface="+mn-lt"/>
              <a:ea typeface="+mn-ea"/>
              <a:cs typeface="+mn-cs"/>
            </a:rPr>
            <a:t> and $750 in 2021.</a:t>
          </a:r>
          <a:r>
            <a:rPr lang="en-US" sz="1100" b="0" i="0" u="none" strike="noStrike" baseline="30000">
              <a:solidFill>
                <a:schemeClr val="dk1"/>
              </a:solidFill>
              <a:effectLst/>
              <a:latin typeface="+mn-lt"/>
              <a:ea typeface="+mn-ea"/>
              <a:cs typeface="+mn-cs"/>
            </a:rPr>
            <a:t>60</a:t>
          </a:r>
          <a:r>
            <a:rPr lang="en-US" sz="1100" b="0" i="0" u="none" strike="noStrike">
              <a:solidFill>
                <a:schemeClr val="dk1"/>
              </a:solidFill>
              <a:effectLst/>
              <a:latin typeface="+mn-lt"/>
              <a:ea typeface="+mn-ea"/>
              <a:cs typeface="+mn-cs"/>
            </a:rPr>
            <a:t> The $2,096 figure is substantially higher and may represent the average cost for ED visits that result in hospital admission, costs associated with specific high-acuity conditions treated in the ED, or potentially reflect hospital </a:t>
          </a:r>
          <a:r>
            <a:rPr lang="en-US" sz="1100" b="0" i="1" u="none" strike="noStrike">
              <a:solidFill>
                <a:schemeClr val="dk1"/>
              </a:solidFill>
              <a:effectLst/>
              <a:latin typeface="+mn-lt"/>
              <a:ea typeface="+mn-ea"/>
              <a:cs typeface="+mn-cs"/>
            </a:rPr>
            <a:t>charges</a:t>
          </a:r>
          <a:r>
            <a:rPr lang="en-US" sz="1100" b="0" i="0" u="none" strike="noStrike">
              <a:solidFill>
                <a:schemeClr val="dk1"/>
              </a:solidFill>
              <a:effectLst/>
              <a:latin typeface="+mn-lt"/>
              <a:ea typeface="+mn-ea"/>
              <a:cs typeface="+mn-cs"/>
            </a:rPr>
            <a:t> rather than costs. Without further context, it does not align with typical average ED visit costs.</a:t>
          </a:r>
        </a:p>
        <a:p>
          <a:pPr rtl="0" fontAlgn="base"/>
          <a:r>
            <a:rPr lang="en-US" sz="1100" b="1" i="0" u="none" strike="noStrike">
              <a:solidFill>
                <a:schemeClr val="dk1"/>
              </a:solidFill>
              <a:effectLst/>
              <a:latin typeface="+mn-lt"/>
              <a:ea typeface="+mn-ea"/>
              <a:cs typeface="+mn-cs"/>
            </a:rPr>
            <a:t>Hospital stay per day</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$3,013</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being highly consistent with recent national average costs per inpatient day. Data cited from KFF and other sources indicate an average cost per inpatient day of $2,883 in 2021 </a:t>
          </a:r>
          <a:r>
            <a:rPr lang="en-US" sz="1100" b="0" i="0" u="none" strike="noStrike" baseline="30000">
              <a:solidFill>
                <a:schemeClr val="dk1"/>
              </a:solidFill>
              <a:effectLst/>
              <a:latin typeface="+mn-lt"/>
              <a:ea typeface="+mn-ea"/>
              <a:cs typeface="+mn-cs"/>
            </a:rPr>
            <a:t>61</a:t>
          </a:r>
          <a:r>
            <a:rPr lang="en-US" sz="1100" b="0" i="0" u="none" strike="noStrike">
              <a:solidFill>
                <a:schemeClr val="dk1"/>
              </a:solidFill>
              <a:effectLst/>
              <a:latin typeface="+mn-lt"/>
              <a:ea typeface="+mn-ea"/>
              <a:cs typeface="+mn-cs"/>
            </a:rPr>
            <a:t> and $3,025 in 2022.</a:t>
          </a:r>
          <a:r>
            <a:rPr lang="en-US" sz="1100" b="0" i="0" u="none" strike="noStrike" baseline="30000">
              <a:solidFill>
                <a:schemeClr val="dk1"/>
              </a:solidFill>
              <a:effectLst/>
              <a:latin typeface="+mn-lt"/>
              <a:ea typeface="+mn-ea"/>
              <a:cs typeface="+mn-cs"/>
            </a:rPr>
            <a:t>62</a:t>
          </a:r>
          <a:r>
            <a:rPr lang="en-US" sz="1100" b="0" i="0" u="none" strike="noStrike">
              <a:solidFill>
                <a:schemeClr val="dk1"/>
              </a:solidFill>
              <a:effectLst/>
              <a:latin typeface="+mn-lt"/>
              <a:ea typeface="+mn-ea"/>
              <a:cs typeface="+mn-cs"/>
            </a:rPr>
            <a:t> This figure reflects a notable increase from earlier years (e.g., HCUP data showed averages around $2,543 in 2016 </a:t>
          </a:r>
          <a:r>
            <a:rPr lang="en-US" sz="1100" b="0" i="0" u="none" strike="noStrike" baseline="30000">
              <a:solidFill>
                <a:schemeClr val="dk1"/>
              </a:solidFill>
              <a:effectLst/>
              <a:latin typeface="+mn-lt"/>
              <a:ea typeface="+mn-ea"/>
              <a:cs typeface="+mn-cs"/>
            </a:rPr>
            <a:t>63</a:t>
          </a:r>
          <a:r>
            <a:rPr lang="en-US" sz="1100" b="0" i="0" u="none" strike="noStrike">
              <a:solidFill>
                <a:schemeClr val="dk1"/>
              </a:solidFill>
              <a:effectLst/>
              <a:latin typeface="+mn-lt"/>
              <a:ea typeface="+mn-ea"/>
              <a:cs typeface="+mn-cs"/>
            </a:rPr>
            <a:t>).</a:t>
          </a:r>
        </a:p>
        <a:p>
          <a:pPr rtl="0" fontAlgn="base"/>
          <a:r>
            <a:rPr lang="en-US" sz="1100" b="1" i="0" u="none" strike="noStrike">
              <a:solidFill>
                <a:schemeClr val="dk1"/>
              </a:solidFill>
              <a:effectLst/>
              <a:latin typeface="+mn-lt"/>
              <a:ea typeface="+mn-ea"/>
              <a:cs typeface="+mn-cs"/>
            </a:rPr>
            <a:t>Hospital stay per day - critical care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$15,000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likely overstated or represents charges rather than costs</a:t>
          </a:r>
          <a:r>
            <a:rPr lang="en-US" sz="1100" b="0" i="0" u="none" strike="noStrike">
              <a:solidFill>
                <a:schemeClr val="dk1"/>
              </a:solidFill>
              <a:effectLst/>
              <a:latin typeface="+mn-lt"/>
              <a:ea typeface="+mn-ea"/>
              <a:cs typeface="+mn-cs"/>
            </a:rPr>
            <a:t>. Studies analyzing ICU costs report significantly lower figures for average daily </a:t>
          </a:r>
          <a:r>
            <a:rPr lang="en-US" sz="1100" b="0" i="1" u="none" strike="noStrike">
              <a:solidFill>
                <a:schemeClr val="dk1"/>
              </a:solidFill>
              <a:effectLst/>
              <a:latin typeface="+mn-lt"/>
              <a:ea typeface="+mn-ea"/>
              <a:cs typeface="+mn-cs"/>
            </a:rPr>
            <a:t>costs</a:t>
          </a:r>
          <a:r>
            <a:rPr lang="en-US" sz="1100" b="0" i="0" u="none" strike="noStrike">
              <a:solidFill>
                <a:schemeClr val="dk1"/>
              </a:solidFill>
              <a:effectLst/>
              <a:latin typeface="+mn-lt"/>
              <a:ea typeface="+mn-ea"/>
              <a:cs typeface="+mn-cs"/>
            </a:rPr>
            <a:t>. A 2005 study found mean ICU costs were highest on day 1 ($6,667 without mechanical ventilation, $10,794 with mechanical ventilation) and stabilized around $4,000 per day thereafter.</a:t>
          </a:r>
          <a:r>
            <a:rPr lang="en-US" sz="1100" b="0" i="0" u="none" strike="noStrike" baseline="30000">
              <a:solidFill>
                <a:schemeClr val="dk1"/>
              </a:solidFill>
              <a:effectLst/>
              <a:latin typeface="+mn-lt"/>
              <a:ea typeface="+mn-ea"/>
              <a:cs typeface="+mn-cs"/>
            </a:rPr>
            <a:t>65</a:t>
          </a:r>
          <a:r>
            <a:rPr lang="en-US" sz="1100" b="0" i="0" u="none" strike="noStrike">
              <a:solidFill>
                <a:schemeClr val="dk1"/>
              </a:solidFill>
              <a:effectLst/>
              <a:latin typeface="+mn-lt"/>
              <a:ea typeface="+mn-ea"/>
              <a:cs typeface="+mn-cs"/>
            </a:rPr>
            <a:t> The Society of Critical Care Medicine cited estimated ICU costs per day at $4,300 in 2010.</a:t>
          </a:r>
          <a:r>
            <a:rPr lang="en-US" sz="1100" b="0" i="0" u="none" strike="noStrike" baseline="30000">
              <a:solidFill>
                <a:schemeClr val="dk1"/>
              </a:solidFill>
              <a:effectLst/>
              <a:latin typeface="+mn-lt"/>
              <a:ea typeface="+mn-ea"/>
              <a:cs typeface="+mn-cs"/>
            </a:rPr>
            <a:t>66</a:t>
          </a:r>
          <a:r>
            <a:rPr lang="en-US" sz="1100" b="0" i="0" u="none" strike="noStrike">
              <a:solidFill>
                <a:schemeClr val="dk1"/>
              </a:solidFill>
              <a:effectLst/>
              <a:latin typeface="+mn-lt"/>
              <a:ea typeface="+mn-ea"/>
              <a:cs typeface="+mn-cs"/>
            </a:rPr>
            <a:t> While some studies mention figures around $15,000-$18,000 per day, these often refer to </a:t>
          </a:r>
          <a:r>
            <a:rPr lang="en-US" sz="1100" b="0" i="1" u="none" strike="noStrike">
              <a:solidFill>
                <a:schemeClr val="dk1"/>
              </a:solidFill>
              <a:effectLst/>
              <a:latin typeface="+mn-lt"/>
              <a:ea typeface="+mn-ea"/>
              <a:cs typeface="+mn-cs"/>
            </a:rPr>
            <a:t>charge reductions</a:t>
          </a:r>
          <a:r>
            <a:rPr lang="en-US" sz="1100" b="0" i="0" u="none" strike="noStrike">
              <a:solidFill>
                <a:schemeClr val="dk1"/>
              </a:solidFill>
              <a:effectLst/>
              <a:latin typeface="+mn-lt"/>
              <a:ea typeface="+mn-ea"/>
              <a:cs typeface="+mn-cs"/>
            </a:rPr>
            <a:t> associated with shortening ICU stays or specific interventions, not the baseline daily cost.</a:t>
          </a:r>
          <a:r>
            <a:rPr lang="en-US" sz="1100" b="0" i="0" u="none" strike="noStrike" baseline="30000">
              <a:solidFill>
                <a:schemeClr val="dk1"/>
              </a:solidFill>
              <a:effectLst/>
              <a:latin typeface="+mn-lt"/>
              <a:ea typeface="+mn-ea"/>
              <a:cs typeface="+mn-cs"/>
            </a:rPr>
            <a:t>67</a:t>
          </a:r>
          <a:r>
            <a:rPr lang="en-US" sz="1100" b="0" i="0" u="none" strike="noStrike">
              <a:solidFill>
                <a:schemeClr val="dk1"/>
              </a:solidFill>
              <a:effectLst/>
              <a:latin typeface="+mn-lt"/>
              <a:ea typeface="+mn-ea"/>
              <a:cs typeface="+mn-cs"/>
            </a:rPr>
            <a:t> Hospital </a:t>
          </a:r>
          <a:r>
            <a:rPr lang="en-US" sz="1100" b="0" i="1" u="none" strike="noStrike">
              <a:solidFill>
                <a:schemeClr val="dk1"/>
              </a:solidFill>
              <a:effectLst/>
              <a:latin typeface="+mn-lt"/>
              <a:ea typeface="+mn-ea"/>
              <a:cs typeface="+mn-cs"/>
            </a:rPr>
            <a:t>charges</a:t>
          </a:r>
          <a:r>
            <a:rPr lang="en-US" sz="1100" b="0" i="0" u="none" strike="noStrike">
              <a:solidFill>
                <a:schemeClr val="dk1"/>
              </a:solidFill>
              <a:effectLst/>
              <a:latin typeface="+mn-lt"/>
              <a:ea typeface="+mn-ea"/>
              <a:cs typeface="+mn-cs"/>
            </a:rPr>
            <a:t> for ICU stays are considerably higher than costs.</a:t>
          </a:r>
          <a:r>
            <a:rPr lang="en-US" sz="1100" b="0" i="0" u="none" strike="noStrike" baseline="30000">
              <a:solidFill>
                <a:schemeClr val="dk1"/>
              </a:solidFill>
              <a:effectLst/>
              <a:latin typeface="+mn-lt"/>
              <a:ea typeface="+mn-ea"/>
              <a:cs typeface="+mn-cs"/>
            </a:rPr>
            <a:t>68</a:t>
          </a:r>
          <a:r>
            <a:rPr lang="en-US" sz="1100" b="0" i="0" u="none" strike="noStrike">
              <a:solidFill>
                <a:schemeClr val="dk1"/>
              </a:solidFill>
              <a:effectLst/>
              <a:latin typeface="+mn-lt"/>
              <a:ea typeface="+mn-ea"/>
              <a:cs typeface="+mn-cs"/>
            </a:rPr>
            <a:t> Therefore, $15,000 likely does not represent the average daily </a:t>
          </a:r>
          <a:r>
            <a:rPr lang="en-US" sz="1100" b="0" i="1" u="none" strike="noStrike">
              <a:solidFill>
                <a:schemeClr val="dk1"/>
              </a:solidFill>
              <a:effectLst/>
              <a:latin typeface="+mn-lt"/>
              <a:ea typeface="+mn-ea"/>
              <a:cs typeface="+mn-cs"/>
            </a:rPr>
            <a:t>cost</a:t>
          </a:r>
          <a:r>
            <a:rPr lang="en-US" sz="1100" b="0" i="0" u="none" strike="noStrike">
              <a:solidFill>
                <a:schemeClr val="dk1"/>
              </a:solidFill>
              <a:effectLst/>
              <a:latin typeface="+mn-lt"/>
              <a:ea typeface="+mn-ea"/>
              <a:cs typeface="+mn-cs"/>
            </a:rPr>
            <a:t> of ICU care.</a:t>
          </a:r>
        </a:p>
        <a:p>
          <a:pPr rtl="0" fontAlgn="base"/>
          <a:r>
            <a:rPr lang="en-US" sz="1100" b="1" i="0" u="none" strike="noStrike">
              <a:solidFill>
                <a:schemeClr val="dk1"/>
              </a:solidFill>
              <a:effectLst/>
              <a:latin typeface="+mn-lt"/>
              <a:ea typeface="+mn-ea"/>
              <a:cs typeface="+mn-cs"/>
            </a:rPr>
            <a:t>Immunizations</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$72</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without context. Vaccine costs vary significantly depending on the specific vaccine. For example, the CDC's 2026 contract prices show Hepatitis B pediatric vaccine costs ranging from ~$15 (public) to ~$29 (private) per dose, while HPV vaccine costs ~$257 (public) to ~$308 (private) per dose.</a:t>
          </a:r>
          <a:r>
            <a:rPr lang="en-US" sz="1100" b="0" i="0" u="none" strike="noStrike" baseline="30000">
              <a:solidFill>
                <a:schemeClr val="dk1"/>
              </a:solidFill>
              <a:effectLst/>
              <a:latin typeface="+mn-lt"/>
              <a:ea typeface="+mn-ea"/>
              <a:cs typeface="+mn-cs"/>
            </a:rPr>
            <a:t>69</a:t>
          </a:r>
          <a:r>
            <a:rPr lang="en-US" sz="1100" b="0" i="0" u="none" strike="noStrike">
              <a:solidFill>
                <a:schemeClr val="dk1"/>
              </a:solidFill>
              <a:effectLst/>
              <a:latin typeface="+mn-lt"/>
              <a:ea typeface="+mn-ea"/>
              <a:cs typeface="+mn-cs"/>
            </a:rPr>
            <a:t> $72 could potentially represent the cost of a specific vaccine dose (e.g., Hepatitis B adult dose ~$35-$78 </a:t>
          </a:r>
          <a:r>
            <a:rPr lang="en-US" sz="1100" b="0" i="0" u="none" strike="noStrike" baseline="30000">
              <a:solidFill>
                <a:schemeClr val="dk1"/>
              </a:solidFill>
              <a:effectLst/>
              <a:latin typeface="+mn-lt"/>
              <a:ea typeface="+mn-ea"/>
              <a:cs typeface="+mn-cs"/>
            </a:rPr>
            <a:t>69</a:t>
          </a:r>
          <a:r>
            <a:rPr lang="en-US" sz="1100" b="0" i="0" u="none" strike="noStrike">
              <a:solidFill>
                <a:schemeClr val="dk1"/>
              </a:solidFill>
              <a:effectLst/>
              <a:latin typeface="+mn-lt"/>
              <a:ea typeface="+mn-ea"/>
              <a:cs typeface="+mn-cs"/>
            </a:rPr>
            <a:t>) or an average across a standard set of immunizations, but the source and specifics are needed for verification.</a:t>
          </a:r>
        </a:p>
        <a:p>
          <a:pPr rtl="0" fontAlgn="base"/>
          <a:r>
            <a:rPr lang="en-US" sz="1100" b="1" i="0" u="none" strike="noStrike">
              <a:solidFill>
                <a:schemeClr val="dk1"/>
              </a:solidFill>
              <a:effectLst/>
              <a:latin typeface="+mn-lt"/>
              <a:ea typeface="+mn-ea"/>
              <a:cs typeface="+mn-cs"/>
            </a:rPr>
            <a:t>IV drug delivery</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$113.13</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The cost of IV drug delivery depends heavily on the drug being administered, the duration of infusion, necessary supplies (tubing, pumps), personnel time, and the care setting. The provided snippets do not contain specific cost data for this service line item.</a:t>
          </a:r>
        </a:p>
        <a:p>
          <a:pPr rtl="0" fontAlgn="base"/>
          <a:r>
            <a:rPr lang="en-US" sz="1100" b="1" i="0" u="none" strike="noStrike">
              <a:solidFill>
                <a:schemeClr val="dk1"/>
              </a:solidFill>
              <a:effectLst/>
              <a:latin typeface="+mn-lt"/>
              <a:ea typeface="+mn-ea"/>
              <a:cs typeface="+mn-cs"/>
            </a:rPr>
            <a:t>Subcutaneous drug delivery</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$30.19</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Similar to IV delivery, the cost depends on the specific drug, administration frequency, supplies (needles, syringes), and personnel time involved. No specific data for this item was found in the reviewed materials.</a:t>
          </a:r>
        </a:p>
        <a:p>
          <a:pPr rtl="0" fontAlgn="base"/>
          <a:r>
            <a:rPr lang="en-US" sz="1100" b="1" i="0" u="none" strike="noStrike">
              <a:solidFill>
                <a:schemeClr val="dk1"/>
              </a:solidFill>
              <a:effectLst/>
              <a:latin typeface="+mn-lt"/>
              <a:ea typeface="+mn-ea"/>
              <a:cs typeface="+mn-cs"/>
            </a:rPr>
            <a:t>Lab/Pathology</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$28</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and likely represents the cost of a single, very basic test. Laboratory and pathology costs vary immensely depending on the complexity of the test (e.g., simple chemistry vs. complex genetic analysis or histopathology). An average cost per encounter or per patient would typically be much higher. This figure lacks the necessary context to be meaningful or verifiable as a general representation of lab/pathology costs.</a:t>
          </a:r>
        </a:p>
        <a:p>
          <a:pPr rtl="0" fontAlgn="base"/>
          <a:r>
            <a:rPr lang="en-US" sz="1100" b="1" i="0" u="none" strike="noStrike">
              <a:solidFill>
                <a:schemeClr val="dk1"/>
              </a:solidFill>
              <a:effectLst/>
              <a:latin typeface="+mn-lt"/>
              <a:ea typeface="+mn-ea"/>
              <a:cs typeface="+mn-cs"/>
            </a:rPr>
            <a:t>Radiology</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$138</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without context. It is plausible for a moderately complex imaging study (more than a simple X-ray, less than a CT or MRI). For reference, one cost model used $28.79 for a chest X-ray and $260.68 for an abdominal CT scan.</a:t>
          </a:r>
          <a:r>
            <a:rPr lang="en-US" sz="1100" b="0" i="0" u="none" strike="noStrike" baseline="30000">
              <a:solidFill>
                <a:schemeClr val="dk1"/>
              </a:solidFill>
              <a:effectLst/>
              <a:latin typeface="+mn-lt"/>
              <a:ea typeface="+mn-ea"/>
              <a:cs typeface="+mn-cs"/>
            </a:rPr>
            <a:t>42</a:t>
          </a:r>
          <a:r>
            <a:rPr lang="en-US" sz="1100" b="0" i="0" u="none" strike="noStrike">
              <a:solidFill>
                <a:schemeClr val="dk1"/>
              </a:solidFill>
              <a:effectLst/>
              <a:latin typeface="+mn-lt"/>
              <a:ea typeface="+mn-ea"/>
              <a:cs typeface="+mn-cs"/>
            </a:rPr>
            <a:t> $138 likely represents a specific type of radiology procedure rather than a general average cost per encounter.</a:t>
          </a:r>
        </a:p>
        <a:p>
          <a:pPr rtl="0" fontAlgn="base"/>
          <a:r>
            <a:rPr lang="en-US" sz="1100" b="1" i="0" u="none" strike="noStrike">
              <a:solidFill>
                <a:schemeClr val="dk1"/>
              </a:solidFill>
              <a:effectLst/>
              <a:latin typeface="+mn-lt"/>
              <a:ea typeface="+mn-ea"/>
              <a:cs typeface="+mn-cs"/>
            </a:rPr>
            <a:t>Supplies</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$4,000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due to ambiguity. It is unclear whether this represents supply costs per inpatient day, per stay, per procedure, or another metric. While supplies are a component of healthcare costs (e.g., estimated at $2.55-$3.33 per minute of operating room time </a:t>
          </a:r>
          <a:r>
            <a:rPr lang="en-US" sz="1100" b="0" i="0" u="none" strike="noStrike" baseline="30000">
              <a:solidFill>
                <a:schemeClr val="dk1"/>
              </a:solidFill>
              <a:effectLst/>
              <a:latin typeface="+mn-lt"/>
              <a:ea typeface="+mn-ea"/>
              <a:cs typeface="+mn-cs"/>
            </a:rPr>
            <a:t>70</a:t>
          </a:r>
          <a:r>
            <a:rPr lang="en-US" sz="1100" b="0" i="0" u="none" strike="noStrike">
              <a:solidFill>
                <a:schemeClr val="dk1"/>
              </a:solidFill>
              <a:effectLst/>
              <a:latin typeface="+mn-lt"/>
              <a:ea typeface="+mn-ea"/>
              <a:cs typeface="+mn-cs"/>
            </a:rPr>
            <a:t>), a standalone figure of $4,000 lacks the necessary definition for verification.</a:t>
          </a:r>
        </a:p>
        <a:p>
          <a:pPr rtl="0" fontAlgn="base"/>
          <a:r>
            <a:rPr lang="en-US" sz="1100" b="1" i="0" u="none" strike="noStrike">
              <a:solidFill>
                <a:schemeClr val="dk1"/>
              </a:solidFill>
              <a:effectLst/>
              <a:latin typeface="+mn-lt"/>
              <a:ea typeface="+mn-ea"/>
              <a:cs typeface="+mn-cs"/>
            </a:rPr>
            <a:t>Administered drugs</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$813</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as a standalone item representing inpatient drug costs per stay or per day based on the provided snippets. While MEPS and HCUP track overall expenditures, they do not typically isolate the cost of drugs administered during an inpatient stay in their general statistical briefs.</a:t>
          </a:r>
          <a:r>
            <a:rPr lang="en-US" sz="1100" b="0" i="0" u="none" strike="noStrike" baseline="30000">
              <a:solidFill>
                <a:schemeClr val="dk1"/>
              </a:solidFill>
              <a:effectLst/>
              <a:latin typeface="+mn-lt"/>
              <a:ea typeface="+mn-ea"/>
              <a:cs typeface="+mn-cs"/>
            </a:rPr>
            <a:t>64</a:t>
          </a:r>
          <a:r>
            <a:rPr lang="en-US" sz="1100" b="0" i="0" u="none" strike="noStrike">
              <a:solidFill>
                <a:schemeClr val="dk1"/>
              </a:solidFill>
              <a:effectLst/>
              <a:latin typeface="+mn-lt"/>
              <a:ea typeface="+mn-ea"/>
              <a:cs typeface="+mn-cs"/>
            </a:rPr>
            <a:t> This requires more granular hospital billing data.</a:t>
          </a:r>
        </a:p>
        <a:p>
          <a:pPr rtl="0" fontAlgn="base"/>
          <a:r>
            <a:rPr lang="en-US" sz="1100" b="1" i="0" u="none" strike="noStrike">
              <a:solidFill>
                <a:schemeClr val="dk1"/>
              </a:solidFill>
              <a:effectLst/>
              <a:latin typeface="+mn-lt"/>
              <a:ea typeface="+mn-ea"/>
              <a:cs typeface="+mn-cs"/>
            </a:rPr>
            <a:t>Obstetric Adverse Events (OBAE)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$602</a:t>
          </a:r>
          <a:r>
            <a:rPr lang="en-US" sz="1100" b="0" i="0" u="none" strike="noStrike">
              <a:solidFill>
                <a:schemeClr val="dk1"/>
              </a:solidFill>
              <a:effectLst/>
              <a:latin typeface="+mn-lt"/>
              <a:ea typeface="+mn-ea"/>
              <a:cs typeface="+mn-cs"/>
            </a:rPr>
            <a:t> is verified as the estimated additional cost per OBAE case from the 2017 AHRQ meta-analysis.</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This estimate was based on only two studies covering a subset of maternal adverse events (obstetrical trauma, postpartum hemorrhage, preeclampsia/eclampsia, anesthesia events) and had a wide confidence interval (-$578–$1,782) that included zero, indicating statistical uncertainty.</a:t>
          </a:r>
          <a:r>
            <a:rPr lang="en-US" sz="1100" b="0" i="0" u="none" strike="noStrike" baseline="30000">
              <a:solidFill>
                <a:schemeClr val="dk1"/>
              </a:solidFill>
              <a:effectLst/>
              <a:latin typeface="+mn-lt"/>
              <a:ea typeface="+mn-ea"/>
              <a:cs typeface="+mn-cs"/>
            </a:rPr>
            <a:t>5</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Labor/delivery newborn admission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$9,851</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 but requires context</a:t>
          </a:r>
          <a:r>
            <a:rPr lang="en-US" sz="1100" b="0" i="0" u="none" strike="noStrike">
              <a:solidFill>
                <a:schemeClr val="dk1"/>
              </a:solidFill>
              <a:effectLst/>
              <a:latin typeface="+mn-lt"/>
              <a:ea typeface="+mn-ea"/>
              <a:cs typeface="+mn-cs"/>
            </a:rPr>
            <a:t>. It falls between older estimates of average delivery costs (~$8,800 in 2007 </a:t>
          </a:r>
          <a:r>
            <a:rPr lang="en-US" sz="1100" b="0" i="0" u="none" strike="noStrike" baseline="30000">
              <a:solidFill>
                <a:schemeClr val="dk1"/>
              </a:solidFill>
              <a:effectLst/>
              <a:latin typeface="+mn-lt"/>
              <a:ea typeface="+mn-ea"/>
              <a:cs typeface="+mn-cs"/>
            </a:rPr>
            <a:t>76</a:t>
          </a:r>
          <a:r>
            <a:rPr lang="en-US" sz="1100" b="0" i="0" u="none" strike="noStrike">
              <a:solidFill>
                <a:schemeClr val="dk1"/>
              </a:solidFill>
              <a:effectLst/>
              <a:latin typeface="+mn-lt"/>
              <a:ea typeface="+mn-ea"/>
              <a:cs typeface="+mn-cs"/>
            </a:rPr>
            <a:t>) and more recent estimates based on large employer plans (~$13,400-$18,900 total pregnancy-related costs </a:t>
          </a:r>
          <a:r>
            <a:rPr lang="en-US" sz="1100" b="0" i="0" u="none" strike="noStrike" baseline="30000">
              <a:solidFill>
                <a:schemeClr val="dk1"/>
              </a:solidFill>
              <a:effectLst/>
              <a:latin typeface="+mn-lt"/>
              <a:ea typeface="+mn-ea"/>
              <a:cs typeface="+mn-cs"/>
            </a:rPr>
            <a:t>77</a:t>
          </a:r>
          <a:r>
            <a:rPr lang="en-US" sz="1100" b="0" i="0" u="none" strike="noStrike">
              <a:solidFill>
                <a:schemeClr val="dk1"/>
              </a:solidFill>
              <a:effectLst/>
              <a:latin typeface="+mn-lt"/>
              <a:ea typeface="+mn-ea"/>
              <a:cs typeface="+mn-cs"/>
            </a:rPr>
            <a:t>). HCUP data from 2008 showed lower average costs per stay ($3,800), but costs have increased significantly since then.</a:t>
          </a:r>
          <a:r>
            <a:rPr lang="en-US" sz="1100" b="0" i="0" u="none" strike="noStrike" baseline="30000">
              <a:solidFill>
                <a:schemeClr val="dk1"/>
              </a:solidFill>
              <a:effectLst/>
              <a:latin typeface="+mn-lt"/>
              <a:ea typeface="+mn-ea"/>
              <a:cs typeface="+mn-cs"/>
            </a:rPr>
            <a:t>80</a:t>
          </a:r>
          <a:r>
            <a:rPr lang="en-US" sz="1100" b="0" i="0" u="none" strike="noStrike">
              <a:solidFill>
                <a:schemeClr val="dk1"/>
              </a:solidFill>
              <a:effectLst/>
              <a:latin typeface="+mn-lt"/>
              <a:ea typeface="+mn-ea"/>
              <a:cs typeface="+mn-cs"/>
            </a:rPr>
            <a:t> The $9,851 figure could represent the combined facility costs for an uncomplicated maternal delivery and routine newborn stay from a specific payer type or year in the mid-2010s.</a:t>
          </a:r>
        </a:p>
        <a:p>
          <a:pPr rtl="0" fontAlgn="base"/>
          <a:r>
            <a:rPr lang="en-US" sz="1100" b="1" i="0" u="none" strike="noStrike">
              <a:solidFill>
                <a:schemeClr val="dk1"/>
              </a:solidFill>
              <a:effectLst/>
              <a:latin typeface="+mn-lt"/>
              <a:ea typeface="+mn-ea"/>
              <a:cs typeface="+mn-cs"/>
            </a:rPr>
            <a:t>Medical Admission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$19,672</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 for complex cases or recent years, but high for an overall average medical admission</a:t>
          </a:r>
          <a:r>
            <a:rPr lang="en-US" sz="1100" b="0" i="0" u="none" strike="noStrike">
              <a:solidFill>
                <a:schemeClr val="dk1"/>
              </a:solidFill>
              <a:effectLst/>
              <a:latin typeface="+mn-lt"/>
              <a:ea typeface="+mn-ea"/>
              <a:cs typeface="+mn-cs"/>
            </a:rPr>
            <a:t>. HCUP data indicates average costs per stay have risen ($9.7k in 2010 </a:t>
          </a:r>
          <a:r>
            <a:rPr lang="en-US" sz="1100" b="0" i="0" u="none" strike="noStrike" baseline="30000">
              <a:solidFill>
                <a:schemeClr val="dk1"/>
              </a:solidFill>
              <a:effectLst/>
              <a:latin typeface="+mn-lt"/>
              <a:ea typeface="+mn-ea"/>
              <a:cs typeface="+mn-cs"/>
            </a:rPr>
            <a:t>81</a:t>
          </a:r>
          <a:r>
            <a:rPr lang="en-US" sz="1100" b="0" i="0" u="none" strike="noStrike">
              <a:solidFill>
                <a:schemeClr val="dk1"/>
              </a:solidFill>
              <a:effectLst/>
              <a:latin typeface="+mn-lt"/>
              <a:ea typeface="+mn-ea"/>
              <a:cs typeface="+mn-cs"/>
            </a:rPr>
            <a:t>, $11.7k in 2016/2017 </a:t>
          </a:r>
          <a:r>
            <a:rPr lang="en-US" sz="1100" b="0" i="0" u="none" strike="noStrike" baseline="30000">
              <a:solidFill>
                <a:schemeClr val="dk1"/>
              </a:solidFill>
              <a:effectLst/>
              <a:latin typeface="+mn-lt"/>
              <a:ea typeface="+mn-ea"/>
              <a:cs typeface="+mn-cs"/>
            </a:rPr>
            <a:t>63</a:t>
          </a:r>
          <a:r>
            <a:rPr lang="en-US" sz="1100" b="0" i="0" u="none" strike="noStrike">
              <a:solidFill>
                <a:schemeClr val="dk1"/>
              </a:solidFill>
              <a:effectLst/>
              <a:latin typeface="+mn-lt"/>
              <a:ea typeface="+mn-ea"/>
              <a:cs typeface="+mn-cs"/>
            </a:rPr>
            <a:t>). While average </a:t>
          </a:r>
          <a:r>
            <a:rPr lang="en-US" sz="1100" b="0" i="1" u="none" strike="noStrike">
              <a:solidFill>
                <a:schemeClr val="dk1"/>
              </a:solidFill>
              <a:effectLst/>
              <a:latin typeface="+mn-lt"/>
              <a:ea typeface="+mn-ea"/>
              <a:cs typeface="+mn-cs"/>
            </a:rPr>
            <a:t>medical</a:t>
          </a:r>
          <a:r>
            <a:rPr lang="en-US" sz="1100" b="0" i="0" u="none" strike="noStrike">
              <a:solidFill>
                <a:schemeClr val="dk1"/>
              </a:solidFill>
              <a:effectLst/>
              <a:latin typeface="+mn-lt"/>
              <a:ea typeface="+mn-ea"/>
              <a:cs typeface="+mn-cs"/>
            </a:rPr>
            <a:t> stays historically cost less than surgical stays ($8.5k in 2012 </a:t>
          </a:r>
          <a:r>
            <a:rPr lang="en-US" sz="1100" b="0" i="0" u="none" strike="noStrike" baseline="30000">
              <a:solidFill>
                <a:schemeClr val="dk1"/>
              </a:solidFill>
              <a:effectLst/>
              <a:latin typeface="+mn-lt"/>
              <a:ea typeface="+mn-ea"/>
              <a:cs typeface="+mn-cs"/>
            </a:rPr>
            <a:t>82</a:t>
          </a:r>
          <a:r>
            <a:rPr lang="en-US" sz="1100" b="0" i="0" u="none" strike="noStrike">
              <a:solidFill>
                <a:schemeClr val="dk1"/>
              </a:solidFill>
              <a:effectLst/>
              <a:latin typeface="+mn-lt"/>
              <a:ea typeface="+mn-ea"/>
              <a:cs typeface="+mn-cs"/>
            </a:rPr>
            <a:t>), $19,672 could reflect more recent data or admissions for higher-cost medical conditions like septicemia or heart failure.</a:t>
          </a:r>
          <a:r>
            <a:rPr lang="en-US" sz="1100" b="0" i="0" u="none" strike="noStrike" baseline="30000">
              <a:solidFill>
                <a:schemeClr val="dk1"/>
              </a:solidFill>
              <a:effectLst/>
              <a:latin typeface="+mn-lt"/>
              <a:ea typeface="+mn-ea"/>
              <a:cs typeface="+mn-cs"/>
            </a:rPr>
            <a:t>72</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Surgical Admission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$43,810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 only for complex surgical admissions</a:t>
          </a:r>
          <a:r>
            <a:rPr lang="en-US" sz="1100" b="0" i="0" u="none" strike="noStrike">
              <a:solidFill>
                <a:schemeClr val="dk1"/>
              </a:solidFill>
              <a:effectLst/>
              <a:latin typeface="+mn-lt"/>
              <a:ea typeface="+mn-ea"/>
              <a:cs typeface="+mn-cs"/>
            </a:rPr>
            <a:t>. Average costs for surgical stays reported by HCUP are significantly lower ($21.2k in 2012 </a:t>
          </a:r>
          <a:r>
            <a:rPr lang="en-US" sz="1100" b="0" i="0" u="none" strike="noStrike" baseline="30000">
              <a:solidFill>
                <a:schemeClr val="dk1"/>
              </a:solidFill>
              <a:effectLst/>
              <a:latin typeface="+mn-lt"/>
              <a:ea typeface="+mn-ea"/>
              <a:cs typeface="+mn-cs"/>
            </a:rPr>
            <a:t>82</a:t>
          </a:r>
          <a:r>
            <a:rPr lang="en-US" sz="1100" b="0" i="0" u="none" strike="noStrike">
              <a:solidFill>
                <a:schemeClr val="dk1"/>
              </a:solidFill>
              <a:effectLst/>
              <a:latin typeface="+mn-lt"/>
              <a:ea typeface="+mn-ea"/>
              <a:cs typeface="+mn-cs"/>
            </a:rPr>
            <a:t>, ~$22k in 2018 </a:t>
          </a:r>
          <a:r>
            <a:rPr lang="en-US" sz="1100" b="0" i="0" u="none" strike="noStrike" baseline="30000">
              <a:solidFill>
                <a:schemeClr val="dk1"/>
              </a:solidFill>
              <a:effectLst/>
              <a:latin typeface="+mn-lt"/>
              <a:ea typeface="+mn-ea"/>
              <a:cs typeface="+mn-cs"/>
            </a:rPr>
            <a:t>83</a:t>
          </a:r>
          <a:r>
            <a:rPr lang="en-US" sz="1100" b="0" i="0" u="none" strike="noStrike">
              <a:solidFill>
                <a:schemeClr val="dk1"/>
              </a:solidFill>
              <a:effectLst/>
              <a:latin typeface="+mn-lt"/>
              <a:ea typeface="+mn-ea"/>
              <a:cs typeface="+mn-cs"/>
            </a:rPr>
            <a:t>). The $43,810 figure likely represents specific, high-cost procedures such as major organ transplants, complex cardiac surgeries, or extensive spinal fusions, rather than the average surgical admission.</a:t>
          </a:r>
        </a:p>
        <a:p>
          <a:pPr rtl="0" fontAlgn="base"/>
          <a:r>
            <a:rPr lang="en-US" sz="1100" b="1" i="0" u="none" strike="noStrike">
              <a:solidFill>
                <a:schemeClr val="dk1"/>
              </a:solidFill>
              <a:effectLst/>
              <a:latin typeface="+mn-lt"/>
              <a:ea typeface="+mn-ea"/>
              <a:cs typeface="+mn-cs"/>
            </a:rPr>
            <a:t>Psychiatry</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$102</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aligning closely with the </a:t>
          </a:r>
          <a:r>
            <a:rPr lang="en-US" sz="1100" b="1" i="0" u="none" strike="noStrike">
              <a:solidFill>
                <a:schemeClr val="dk1"/>
              </a:solidFill>
              <a:effectLst/>
              <a:latin typeface="+mn-lt"/>
              <a:ea typeface="+mn-ea"/>
              <a:cs typeface="+mn-cs"/>
            </a:rPr>
            <a:t>median</a:t>
          </a:r>
          <a:r>
            <a:rPr lang="en-US" sz="1100" b="0" i="0" u="none" strike="noStrike">
              <a:solidFill>
                <a:schemeClr val="dk1"/>
              </a:solidFill>
              <a:effectLst/>
              <a:latin typeface="+mn-lt"/>
              <a:ea typeface="+mn-ea"/>
              <a:cs typeface="+mn-cs"/>
            </a:rPr>
            <a:t> cost ($103) for an office-based psychiatry visit based on 2016 MEPS data.</a:t>
          </a:r>
          <a:r>
            <a:rPr lang="en-US" sz="1100" b="0" i="0" u="none" strike="noStrike" baseline="30000">
              <a:solidFill>
                <a:schemeClr val="dk1"/>
              </a:solidFill>
              <a:effectLst/>
              <a:latin typeface="+mn-lt"/>
              <a:ea typeface="+mn-ea"/>
              <a:cs typeface="+mn-cs"/>
            </a:rPr>
            <a:t>84</a:t>
          </a:r>
          <a:r>
            <a:rPr lang="en-US" sz="1100" b="0" i="0" u="none" strike="noStrike">
              <a:solidFill>
                <a:schemeClr val="dk1"/>
              </a:solidFill>
              <a:effectLst/>
              <a:latin typeface="+mn-lt"/>
              <a:ea typeface="+mn-ea"/>
              <a:cs typeface="+mn-cs"/>
            </a:rPr>
            <a:t> Mean costs were higher ($159).</a:t>
          </a:r>
        </a:p>
        <a:p>
          <a:pPr rtl="0"/>
          <a:r>
            <a:rPr lang="en-US" sz="1100" b="1" i="0" u="none" strike="noStrike">
              <a:solidFill>
                <a:schemeClr val="dk1"/>
              </a:solidFill>
              <a:effectLst/>
              <a:latin typeface="+mn-lt"/>
              <a:ea typeface="+mn-ea"/>
              <a:cs typeface="+mn-cs"/>
            </a:rPr>
            <a:t>Analysis of Specific Conditions</a:t>
          </a:r>
          <a:endParaRPr lang="en-US" b="1">
            <a:effectLst/>
          </a:endParaRPr>
        </a:p>
        <a:p>
          <a:pPr rtl="0"/>
          <a:r>
            <a:rPr lang="en-US" sz="1100" b="0" i="0" u="none" strike="noStrike">
              <a:solidFill>
                <a:schemeClr val="dk1"/>
              </a:solidFill>
              <a:effectLst/>
              <a:latin typeface="+mn-lt"/>
              <a:ea typeface="+mn-ea"/>
              <a:cs typeface="+mn-cs"/>
            </a:rPr>
            <a:t>This section evaluates the provided cost figures associated with specific health conditions.</a:t>
          </a:r>
          <a:endParaRPr lang="en-US" b="0">
            <a:effectLst/>
          </a:endParaRPr>
        </a:p>
        <a:p>
          <a:pPr rtl="0" fontAlgn="base"/>
          <a:r>
            <a:rPr lang="en-US" sz="1100" b="1" i="0" u="none" strike="noStrike">
              <a:solidFill>
                <a:schemeClr val="dk1"/>
              </a:solidFill>
              <a:effectLst/>
              <a:latin typeface="+mn-lt"/>
              <a:ea typeface="+mn-ea"/>
              <a:cs typeface="+mn-cs"/>
            </a:rPr>
            <a:t>ADHD Disorder</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$19,118</a:t>
          </a:r>
          <a:r>
            <a:rPr lang="en-US" sz="1100" b="0" i="0" u="none" strike="noStrike">
              <a:solidFill>
                <a:schemeClr val="dk1"/>
              </a:solidFill>
              <a:effectLst/>
              <a:latin typeface="+mn-lt"/>
              <a:ea typeface="+mn-ea"/>
              <a:cs typeface="+mn-cs"/>
            </a:rPr>
            <a:t> shows a significant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with available data. AHRQ MEPS data from 2007 indicated average annual expenditures </a:t>
          </a:r>
          <a:r>
            <a:rPr lang="en-US" sz="1100" b="0" i="1" u="none" strike="noStrike">
              <a:solidFill>
                <a:schemeClr val="dk1"/>
              </a:solidFill>
              <a:effectLst/>
              <a:latin typeface="+mn-lt"/>
              <a:ea typeface="+mn-ea"/>
              <a:cs typeface="+mn-cs"/>
            </a:rPr>
            <a:t>per child treated</a:t>
          </a:r>
          <a:r>
            <a:rPr lang="en-US" sz="1100" b="0" i="0" u="none" strike="noStrike">
              <a:solidFill>
                <a:schemeClr val="dk1"/>
              </a:solidFill>
              <a:effectLst/>
              <a:latin typeface="+mn-lt"/>
              <a:ea typeface="+mn-ea"/>
              <a:cs typeface="+mn-cs"/>
            </a:rPr>
            <a:t> for ADHD were only $1,319.</a:t>
          </a:r>
          <a:r>
            <a:rPr lang="en-US" sz="1100" b="0" i="0" u="none" strike="noStrike" baseline="30000">
              <a:solidFill>
                <a:schemeClr val="dk1"/>
              </a:solidFill>
              <a:effectLst/>
              <a:latin typeface="+mn-lt"/>
              <a:ea typeface="+mn-ea"/>
              <a:cs typeface="+mn-cs"/>
            </a:rPr>
            <a:t>86</a:t>
          </a:r>
          <a:r>
            <a:rPr lang="en-US" sz="1100" b="0" i="0" u="none" strike="noStrike">
              <a:solidFill>
                <a:schemeClr val="dk1"/>
              </a:solidFill>
              <a:effectLst/>
              <a:latin typeface="+mn-lt"/>
              <a:ea typeface="+mn-ea"/>
              <a:cs typeface="+mn-cs"/>
            </a:rPr>
            <a:t> A more recent study using MEPS data (2016-2019) found average annual </a:t>
          </a:r>
          <a:r>
            <a:rPr lang="en-US" sz="1100" b="0" i="1" u="none" strike="noStrike">
              <a:solidFill>
                <a:schemeClr val="dk1"/>
              </a:solidFill>
              <a:effectLst/>
              <a:latin typeface="+mn-lt"/>
              <a:ea typeface="+mn-ea"/>
              <a:cs typeface="+mn-cs"/>
            </a:rPr>
            <a:t>total</a:t>
          </a:r>
          <a:r>
            <a:rPr lang="en-US" sz="1100" b="0" i="0" u="none" strike="noStrike">
              <a:solidFill>
                <a:schemeClr val="dk1"/>
              </a:solidFill>
              <a:effectLst/>
              <a:latin typeface="+mn-lt"/>
              <a:ea typeface="+mn-ea"/>
              <a:cs typeface="+mn-cs"/>
            </a:rPr>
            <a:t> healthcare expenditures for adults </a:t>
          </a:r>
          <a:r>
            <a:rPr lang="en-US" sz="1100" b="0" i="1" u="none" strike="noStrike">
              <a:solidFill>
                <a:schemeClr val="dk1"/>
              </a:solidFill>
              <a:effectLst/>
              <a:latin typeface="+mn-lt"/>
              <a:ea typeface="+mn-ea"/>
              <a:cs typeface="+mn-cs"/>
            </a:rPr>
            <a:t>with</a:t>
          </a:r>
          <a:r>
            <a:rPr lang="en-US" sz="1100" b="0" i="0" u="none" strike="noStrike">
              <a:solidFill>
                <a:schemeClr val="dk1"/>
              </a:solidFill>
              <a:effectLst/>
              <a:latin typeface="+mn-lt"/>
              <a:ea typeface="+mn-ea"/>
              <a:cs typeface="+mn-cs"/>
            </a:rPr>
            <a:t> ADHD were $8,590, which was incrementally higher (estimated ~$2,500-$3,000) than adults without ADHD.</a:t>
          </a:r>
          <a:r>
            <a:rPr lang="en-US" sz="1100" b="0" i="0" u="none" strike="noStrike" baseline="30000">
              <a:solidFill>
                <a:schemeClr val="dk1"/>
              </a:solidFill>
              <a:effectLst/>
              <a:latin typeface="+mn-lt"/>
              <a:ea typeface="+mn-ea"/>
              <a:cs typeface="+mn-cs"/>
            </a:rPr>
            <a:t>88</a:t>
          </a:r>
          <a:r>
            <a:rPr lang="en-US" sz="1100" b="0" i="0" u="none" strike="noStrike">
              <a:solidFill>
                <a:schemeClr val="dk1"/>
              </a:solidFill>
              <a:effectLst/>
              <a:latin typeface="+mn-lt"/>
              <a:ea typeface="+mn-ea"/>
              <a:cs typeface="+mn-cs"/>
            </a:rPr>
            <a:t> The $19,118 figure is substantially higher than these verified annual per-person direct medical cost estimates and may represent lifetime costs, societal costs including productivity losses, or costs for individuals with very severe ADHD and multiple comorbidities.</a:t>
          </a:r>
        </a:p>
        <a:p>
          <a:pPr rtl="0" fontAlgn="base"/>
          <a:r>
            <a:rPr lang="en-US" sz="1100" b="1" i="0" u="none" strike="noStrike">
              <a:solidFill>
                <a:schemeClr val="dk1"/>
              </a:solidFill>
              <a:effectLst/>
              <a:latin typeface="+mn-lt"/>
              <a:ea typeface="+mn-ea"/>
              <a:cs typeface="+mn-cs"/>
            </a:rPr>
            <a:t>Anemia Admission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$11,433</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average inpatient stay cost, aligning with general HCUP average stay costs from the mid-to-late 2010s ($11,700 in 2016/2017 </a:t>
          </a:r>
          <a:r>
            <a:rPr lang="en-US" sz="1100" b="0" i="0" u="none" strike="noStrike" baseline="30000">
              <a:solidFill>
                <a:schemeClr val="dk1"/>
              </a:solidFill>
              <a:effectLst/>
              <a:latin typeface="+mn-lt"/>
              <a:ea typeface="+mn-ea"/>
              <a:cs typeface="+mn-cs"/>
            </a:rPr>
            <a:t>63</a:t>
          </a:r>
          <a:r>
            <a:rPr lang="en-US" sz="1100" b="0" i="0" u="none" strike="noStrike">
              <a:solidFill>
                <a:schemeClr val="dk1"/>
              </a:solidFill>
              <a:effectLst/>
              <a:latin typeface="+mn-lt"/>
              <a:ea typeface="+mn-ea"/>
              <a:cs typeface="+mn-cs"/>
            </a:rPr>
            <a:t>), but </a:t>
          </a:r>
          <a:r>
            <a:rPr lang="en-US" sz="1100" b="1" i="0" u="none" strike="noStrike">
              <a:solidFill>
                <a:schemeClr val="dk1"/>
              </a:solidFill>
              <a:effectLst/>
              <a:latin typeface="+mn-lt"/>
              <a:ea typeface="+mn-ea"/>
              <a:cs typeface="+mn-cs"/>
            </a:rPr>
            <a:t>lacks specific verification</a:t>
          </a:r>
          <a:r>
            <a:rPr lang="en-US" sz="1100" b="0" i="0" u="none" strike="noStrike">
              <a:solidFill>
                <a:schemeClr val="dk1"/>
              </a:solidFill>
              <a:effectLst/>
              <a:latin typeface="+mn-lt"/>
              <a:ea typeface="+mn-ea"/>
              <a:cs typeface="+mn-cs"/>
            </a:rPr>
            <a:t> for anemia as the primary reason for admission in the provided snippets.</a:t>
          </a:r>
          <a:r>
            <a:rPr lang="en-US" sz="1100" b="0" i="0" u="none" strike="noStrike" baseline="30000">
              <a:solidFill>
                <a:schemeClr val="dk1"/>
              </a:solidFill>
              <a:effectLst/>
              <a:latin typeface="+mn-lt"/>
              <a:ea typeface="+mn-ea"/>
              <a:cs typeface="+mn-cs"/>
            </a:rPr>
            <a:t>89</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Anemia ED</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$624</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average cost for a treat-and-release ED visit, falling between the 2017 HCUP average ($530 </a:t>
          </a:r>
          <a:r>
            <a:rPr lang="en-US" sz="1100" b="0" i="0" u="none" strike="noStrike" baseline="30000">
              <a:solidFill>
                <a:schemeClr val="dk1"/>
              </a:solidFill>
              <a:effectLst/>
              <a:latin typeface="+mn-lt"/>
              <a:ea typeface="+mn-ea"/>
              <a:cs typeface="+mn-cs"/>
            </a:rPr>
            <a:t>59</a:t>
          </a:r>
          <a:r>
            <a:rPr lang="en-US" sz="1100" b="0" i="0" u="none" strike="noStrike">
              <a:solidFill>
                <a:schemeClr val="dk1"/>
              </a:solidFill>
              <a:effectLst/>
              <a:latin typeface="+mn-lt"/>
              <a:ea typeface="+mn-ea"/>
              <a:cs typeface="+mn-cs"/>
            </a:rPr>
            <a:t>) and the 2021 average ($750 </a:t>
          </a:r>
          <a:r>
            <a:rPr lang="en-US" sz="1100" b="0" i="0" u="none" strike="noStrike" baseline="30000">
              <a:solidFill>
                <a:schemeClr val="dk1"/>
              </a:solidFill>
              <a:effectLst/>
              <a:latin typeface="+mn-lt"/>
              <a:ea typeface="+mn-ea"/>
              <a:cs typeface="+mn-cs"/>
            </a:rPr>
            <a:t>60</a:t>
          </a:r>
          <a:r>
            <a:rPr lang="en-US" sz="1100" b="0" i="0" u="none" strike="noStrike">
              <a:solidFill>
                <a:schemeClr val="dk1"/>
              </a:solidFill>
              <a:effectLst/>
              <a:latin typeface="+mn-lt"/>
              <a:ea typeface="+mn-ea"/>
              <a:cs typeface="+mn-cs"/>
            </a:rPr>
            <a:t>).</a:t>
          </a:r>
        </a:p>
        <a:p>
          <a:pPr rtl="0" fontAlgn="base"/>
          <a:r>
            <a:rPr lang="en-US" sz="1100" b="1" i="0" u="none" strike="noStrike">
              <a:solidFill>
                <a:schemeClr val="dk1"/>
              </a:solidFill>
              <a:effectLst/>
              <a:latin typeface="+mn-lt"/>
              <a:ea typeface="+mn-ea"/>
              <a:cs typeface="+mn-cs"/>
            </a:rPr>
            <a:t>Anemia Pharmacy Expenses</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$5,988</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without context. While MEPS tracks pharmacy expenditures </a:t>
          </a:r>
          <a:r>
            <a:rPr lang="en-US" sz="1100" b="0" i="0" u="none" strike="noStrike" baseline="30000">
              <a:solidFill>
                <a:schemeClr val="dk1"/>
              </a:solidFill>
              <a:effectLst/>
              <a:latin typeface="+mn-lt"/>
              <a:ea typeface="+mn-ea"/>
              <a:cs typeface="+mn-cs"/>
            </a:rPr>
            <a:t>92</a:t>
          </a:r>
          <a:r>
            <a:rPr lang="en-US" sz="1100" b="0" i="0" u="none" strike="noStrike">
              <a:solidFill>
                <a:schemeClr val="dk1"/>
              </a:solidFill>
              <a:effectLst/>
              <a:latin typeface="+mn-lt"/>
              <a:ea typeface="+mn-ea"/>
              <a:cs typeface="+mn-cs"/>
            </a:rPr>
            <a:t>, no specific data for anemia was found. This figure seems high for annual pharmacy costs solely for anemia treatment unless it includes expensive therapies (e.g., erythropoiesis-stimulating agents) or represents total pharmacy spending for patients who also have anemia.</a:t>
          </a:r>
        </a:p>
        <a:p>
          <a:pPr rtl="0" fontAlgn="base"/>
          <a:r>
            <a:rPr lang="en-US" sz="1100" b="1" i="0" u="none" strike="noStrike">
              <a:solidFill>
                <a:schemeClr val="dk1"/>
              </a:solidFill>
              <a:effectLst/>
              <a:latin typeface="+mn-lt"/>
              <a:ea typeface="+mn-ea"/>
              <a:cs typeface="+mn-cs"/>
            </a:rPr>
            <a:t>Anxiety Disorder</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$19,118</a:t>
          </a:r>
          <a:r>
            <a:rPr lang="en-US" sz="1100" b="0" i="0" u="none" strike="noStrike">
              <a:solidFill>
                <a:schemeClr val="dk1"/>
              </a:solidFill>
              <a:effectLst/>
              <a:latin typeface="+mn-lt"/>
              <a:ea typeface="+mn-ea"/>
              <a:cs typeface="+mn-cs"/>
            </a:rPr>
            <a:t> (identical to the ADHD figure) shows a significant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with available data. MEPS data from 2007 indicated average annual expenditures </a:t>
          </a:r>
          <a:r>
            <a:rPr lang="en-US" sz="1100" b="0" i="1" u="none" strike="noStrike">
              <a:solidFill>
                <a:schemeClr val="dk1"/>
              </a:solidFill>
              <a:effectLst/>
              <a:latin typeface="+mn-lt"/>
              <a:ea typeface="+mn-ea"/>
              <a:cs typeface="+mn-cs"/>
            </a:rPr>
            <a:t>per adult treated</a:t>
          </a:r>
          <a:r>
            <a:rPr lang="en-US" sz="1100" b="0" i="0" u="none" strike="noStrike">
              <a:solidFill>
                <a:schemeClr val="dk1"/>
              </a:solidFill>
              <a:effectLst/>
              <a:latin typeface="+mn-lt"/>
              <a:ea typeface="+mn-ea"/>
              <a:cs typeface="+mn-cs"/>
            </a:rPr>
            <a:t> for anxiety/mood disorders were $1,374.</a:t>
          </a:r>
          <a:r>
            <a:rPr lang="en-US" sz="1100" b="0" i="0" u="none" strike="noStrike" baseline="30000">
              <a:solidFill>
                <a:schemeClr val="dk1"/>
              </a:solidFill>
              <a:effectLst/>
              <a:latin typeface="+mn-lt"/>
              <a:ea typeface="+mn-ea"/>
              <a:cs typeface="+mn-cs"/>
            </a:rPr>
            <a:t>95</a:t>
          </a:r>
          <a:r>
            <a:rPr lang="en-US" sz="1100" b="0" i="0" u="none" strike="noStrike">
              <a:solidFill>
                <a:schemeClr val="dk1"/>
              </a:solidFill>
              <a:effectLst/>
              <a:latin typeface="+mn-lt"/>
              <a:ea typeface="+mn-ea"/>
              <a:cs typeface="+mn-cs"/>
            </a:rPr>
            <a:t> Studies estimating </a:t>
          </a:r>
          <a:r>
            <a:rPr lang="en-US" sz="1100" b="0" i="1" u="none" strike="noStrike">
              <a:solidFill>
                <a:schemeClr val="dk1"/>
              </a:solidFill>
              <a:effectLst/>
              <a:latin typeface="+mn-lt"/>
              <a:ea typeface="+mn-ea"/>
              <a:cs typeface="+mn-cs"/>
            </a:rPr>
            <a:t>incremental</a:t>
          </a:r>
          <a:r>
            <a:rPr lang="en-US" sz="1100" b="0" i="0" u="none" strike="noStrike">
              <a:solidFill>
                <a:schemeClr val="dk1"/>
              </a:solidFill>
              <a:effectLst/>
              <a:latin typeface="+mn-lt"/>
              <a:ea typeface="+mn-ea"/>
              <a:cs typeface="+mn-cs"/>
            </a:rPr>
            <a:t> annual costs associated with anxiety disorders found figures around $1,600-$2,100.</a:t>
          </a:r>
          <a:r>
            <a:rPr lang="en-US" sz="1100" b="0" i="0" u="none" strike="noStrike" baseline="30000">
              <a:solidFill>
                <a:schemeClr val="dk1"/>
              </a:solidFill>
              <a:effectLst/>
              <a:latin typeface="+mn-lt"/>
              <a:ea typeface="+mn-ea"/>
              <a:cs typeface="+mn-cs"/>
            </a:rPr>
            <a:t>96</a:t>
          </a:r>
          <a:r>
            <a:rPr lang="en-US" sz="1100" b="0" i="0" u="none" strike="noStrike">
              <a:solidFill>
                <a:schemeClr val="dk1"/>
              </a:solidFill>
              <a:effectLst/>
              <a:latin typeface="+mn-lt"/>
              <a:ea typeface="+mn-ea"/>
              <a:cs typeface="+mn-cs"/>
            </a:rPr>
            <a:t> Even total medical costs for individuals with anxiety disorders were estimated lower ($6,475 in a 2005 study </a:t>
          </a:r>
          <a:r>
            <a:rPr lang="en-US" sz="1100" b="0" i="0" u="none" strike="noStrike" baseline="30000">
              <a:solidFill>
                <a:schemeClr val="dk1"/>
              </a:solidFill>
              <a:effectLst/>
              <a:latin typeface="+mn-lt"/>
              <a:ea typeface="+mn-ea"/>
              <a:cs typeface="+mn-cs"/>
            </a:rPr>
            <a:t>97</a:t>
          </a:r>
          <a:r>
            <a:rPr lang="en-US" sz="1100" b="0" i="0" u="none" strike="noStrike">
              <a:solidFill>
                <a:schemeClr val="dk1"/>
              </a:solidFill>
              <a:effectLst/>
              <a:latin typeface="+mn-lt"/>
              <a:ea typeface="+mn-ea"/>
              <a:cs typeface="+mn-cs"/>
            </a:rPr>
            <a:t>). The $19,118 figure is likely not representative of average annual direct medical costs for anxiety disorders.</a:t>
          </a:r>
        </a:p>
        <a:p>
          <a:pPr rtl="0" fontAlgn="base"/>
          <a:r>
            <a:rPr lang="en-US" sz="1100" b="1" i="0" u="none" strike="noStrike">
              <a:solidFill>
                <a:schemeClr val="dk1"/>
              </a:solidFill>
              <a:effectLst/>
              <a:latin typeface="+mn-lt"/>
              <a:ea typeface="+mn-ea"/>
              <a:cs typeface="+mn-cs"/>
            </a:rPr>
            <a:t>Asthma</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$2,191</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average annual cost associated with asthma, likely reflecting data from the late 2000s or early 2010s. It falls between MEPS estimates for average total expenditures for treated children ($2,503 in 2007-2008 </a:t>
          </a:r>
          <a:r>
            <a:rPr lang="en-US" sz="1100" b="0" i="0" u="none" strike="noStrike" baseline="30000">
              <a:solidFill>
                <a:schemeClr val="dk1"/>
              </a:solidFill>
              <a:effectLst/>
              <a:latin typeface="+mn-lt"/>
              <a:ea typeface="+mn-ea"/>
              <a:cs typeface="+mn-cs"/>
            </a:rPr>
            <a:t>98</a:t>
          </a:r>
          <a:r>
            <a:rPr lang="en-US" sz="1100" b="0" i="0" u="none" strike="noStrike">
              <a:solidFill>
                <a:schemeClr val="dk1"/>
              </a:solidFill>
              <a:effectLst/>
              <a:latin typeface="+mn-lt"/>
              <a:ea typeface="+mn-ea"/>
              <a:cs typeface="+mn-cs"/>
            </a:rPr>
            <a:t>) and estimated incremental costs for the general population ($3,266 using 2008-2013 data </a:t>
          </a:r>
          <a:r>
            <a:rPr lang="en-US" sz="1100" b="0" i="0" u="none" strike="noStrike" baseline="30000">
              <a:solidFill>
                <a:schemeClr val="dk1"/>
              </a:solidFill>
              <a:effectLst/>
              <a:latin typeface="+mn-lt"/>
              <a:ea typeface="+mn-ea"/>
              <a:cs typeface="+mn-cs"/>
            </a:rPr>
            <a:t>99</a:t>
          </a:r>
          <a:r>
            <a:rPr lang="en-US" sz="1100" b="0" i="0" u="none" strike="noStrike">
              <a:solidFill>
                <a:schemeClr val="dk1"/>
              </a:solidFill>
              <a:effectLst/>
              <a:latin typeface="+mn-lt"/>
              <a:ea typeface="+mn-ea"/>
              <a:cs typeface="+mn-cs"/>
            </a:rPr>
            <a:t>). More recent estimates for workers place average annual costs lower ($901 </a:t>
          </a:r>
          <a:r>
            <a:rPr lang="en-US" sz="1100" b="0" i="0" u="none" strike="noStrike" baseline="30000">
              <a:solidFill>
                <a:schemeClr val="dk1"/>
              </a:solidFill>
              <a:effectLst/>
              <a:latin typeface="+mn-lt"/>
              <a:ea typeface="+mn-ea"/>
              <a:cs typeface="+mn-cs"/>
            </a:rPr>
            <a:t>100</a:t>
          </a:r>
          <a:r>
            <a:rPr lang="en-US" sz="1100" b="0" i="0" u="none" strike="noStrike">
              <a:solidFill>
                <a:schemeClr val="dk1"/>
              </a:solidFill>
              <a:effectLst/>
              <a:latin typeface="+mn-lt"/>
              <a:ea typeface="+mn-ea"/>
              <a:cs typeface="+mn-cs"/>
            </a:rPr>
            <a:t>).</a:t>
          </a:r>
        </a:p>
        <a:p>
          <a:pPr rtl="0" fontAlgn="base"/>
          <a:r>
            <a:rPr lang="en-US" sz="1100" b="1" i="0" u="none" strike="noStrike">
              <a:solidFill>
                <a:schemeClr val="dk1"/>
              </a:solidFill>
              <a:effectLst/>
              <a:latin typeface="+mn-lt"/>
              <a:ea typeface="+mn-ea"/>
              <a:cs typeface="+mn-cs"/>
            </a:rPr>
            <a:t>Asthma Child</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$690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based on 2012 MEPS data, which reported the average per-child expenditure for treatment of COPD/asthma as $690.</a:t>
          </a:r>
          <a:r>
            <a:rPr lang="en-US" sz="1100" b="0" i="0" u="none" strike="noStrike" baseline="30000">
              <a:solidFill>
                <a:schemeClr val="dk1"/>
              </a:solidFill>
              <a:effectLst/>
              <a:latin typeface="+mn-lt"/>
              <a:ea typeface="+mn-ea"/>
              <a:cs typeface="+mn-cs"/>
            </a:rPr>
            <a:t>101</a:t>
          </a:r>
          <a:r>
            <a:rPr lang="en-US" sz="1100" b="0" i="0" u="none" strike="noStrike">
              <a:solidFill>
                <a:schemeClr val="dk1"/>
              </a:solidFill>
              <a:effectLst/>
              <a:latin typeface="+mn-lt"/>
              <a:ea typeface="+mn-ea"/>
              <a:cs typeface="+mn-cs"/>
            </a:rPr>
            <a:t> Note that other studies report higher </a:t>
          </a:r>
          <a:r>
            <a:rPr lang="en-US" sz="1100" b="0" i="1" u="none" strike="noStrike">
              <a:solidFill>
                <a:schemeClr val="dk1"/>
              </a:solidFill>
              <a:effectLst/>
              <a:latin typeface="+mn-lt"/>
              <a:ea typeface="+mn-ea"/>
              <a:cs typeface="+mn-cs"/>
            </a:rPr>
            <a:t>incremental</a:t>
          </a:r>
          <a:r>
            <a:rPr lang="en-US" sz="1100" b="0" i="0" u="none" strike="noStrike">
              <a:solidFill>
                <a:schemeClr val="dk1"/>
              </a:solidFill>
              <a:effectLst/>
              <a:latin typeface="+mn-lt"/>
              <a:ea typeface="+mn-ea"/>
              <a:cs typeface="+mn-cs"/>
            </a:rPr>
            <a:t> costs for children ($1,737 </a:t>
          </a:r>
          <a:r>
            <a:rPr lang="en-US" sz="1100" b="0" i="0" u="none" strike="noStrike" baseline="30000">
              <a:solidFill>
                <a:schemeClr val="dk1"/>
              </a:solidFill>
              <a:effectLst/>
              <a:latin typeface="+mn-lt"/>
              <a:ea typeface="+mn-ea"/>
              <a:cs typeface="+mn-cs"/>
            </a:rPr>
            <a:t>99</a:t>
          </a:r>
          <a:r>
            <a:rPr lang="en-US" sz="1100" b="0" i="0" u="none" strike="noStrike">
              <a:solidFill>
                <a:schemeClr val="dk1"/>
              </a:solidFill>
              <a:effectLst/>
              <a:latin typeface="+mn-lt"/>
              <a:ea typeface="+mn-ea"/>
              <a:cs typeface="+mn-cs"/>
            </a:rPr>
            <a:t>) or higher total costs for children taking daily preventive medicine ($2,985 </a:t>
          </a:r>
          <a:r>
            <a:rPr lang="en-US" sz="1100" b="0" i="0" u="none" strike="noStrike" baseline="30000">
              <a:solidFill>
                <a:schemeClr val="dk1"/>
              </a:solidFill>
              <a:effectLst/>
              <a:latin typeface="+mn-lt"/>
              <a:ea typeface="+mn-ea"/>
              <a:cs typeface="+mn-cs"/>
            </a:rPr>
            <a:t>98</a:t>
          </a:r>
          <a:r>
            <a:rPr lang="en-US" sz="1100" b="0" i="0" u="none" strike="noStrike">
              <a:solidFill>
                <a:schemeClr val="dk1"/>
              </a:solidFill>
              <a:effectLst/>
              <a:latin typeface="+mn-lt"/>
              <a:ea typeface="+mn-ea"/>
              <a:cs typeface="+mn-cs"/>
            </a:rPr>
            <a:t>). The $690 figure likely represents an average across all children treated, regardless of severity or medication use, based on 2012 data.</a:t>
          </a:r>
        </a:p>
        <a:p>
          <a:pPr rtl="0" fontAlgn="base"/>
          <a:r>
            <a:rPr lang="en-US" sz="1100" b="1" i="0" u="none" strike="noStrike">
              <a:solidFill>
                <a:schemeClr val="dk1"/>
              </a:solidFill>
              <a:effectLst/>
              <a:latin typeface="+mn-lt"/>
              <a:ea typeface="+mn-ea"/>
              <a:cs typeface="+mn-cs"/>
            </a:rPr>
            <a:t>Back Injury</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$2,243</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unlikely</a:t>
          </a:r>
          <a:r>
            <a:rPr lang="en-US" sz="1100" b="0" i="0" u="none" strike="noStrike">
              <a:solidFill>
                <a:schemeClr val="dk1"/>
              </a:solidFill>
              <a:effectLst/>
              <a:latin typeface="+mn-lt"/>
              <a:ea typeface="+mn-ea"/>
              <a:cs typeface="+mn-cs"/>
            </a:rPr>
            <a:t> to represent the average cost of a significant back injury requiring hospitalization or extensive treatment. Workplace injury data suggests much higher costs ($15k+ per claim </a:t>
          </a:r>
          <a:r>
            <a:rPr lang="en-US" sz="1100" b="0" i="0" u="none" strike="noStrike" baseline="30000">
              <a:solidFill>
                <a:schemeClr val="dk1"/>
              </a:solidFill>
              <a:effectLst/>
              <a:latin typeface="+mn-lt"/>
              <a:ea typeface="+mn-ea"/>
              <a:cs typeface="+mn-cs"/>
            </a:rPr>
            <a:t>102</a:t>
          </a:r>
          <a:r>
            <a:rPr lang="en-US" sz="1100" b="0" i="0" u="none" strike="noStrike">
              <a:solidFill>
                <a:schemeClr val="dk1"/>
              </a:solidFill>
              <a:effectLst/>
              <a:latin typeface="+mn-lt"/>
              <a:ea typeface="+mn-ea"/>
              <a:cs typeface="+mn-cs"/>
            </a:rPr>
            <a:t>). This figure might pertain to a minor episode or a specific, limited cost component.</a:t>
          </a:r>
        </a:p>
        <a:p>
          <a:pPr rtl="0" fontAlgn="base"/>
          <a:r>
            <a:rPr lang="en-US" sz="1100" b="1" i="0" u="none" strike="noStrike">
              <a:solidFill>
                <a:schemeClr val="dk1"/>
              </a:solidFill>
              <a:effectLst/>
              <a:latin typeface="+mn-lt"/>
              <a:ea typeface="+mn-ea"/>
              <a:cs typeface="+mn-cs"/>
            </a:rPr>
            <a:t>Bipolar Treatment</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$17,058</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estimate of </a:t>
          </a:r>
          <a:r>
            <a:rPr lang="en-US" sz="1100" b="0" i="1" u="none" strike="noStrike">
              <a:solidFill>
                <a:schemeClr val="dk1"/>
              </a:solidFill>
              <a:effectLst/>
              <a:latin typeface="+mn-lt"/>
              <a:ea typeface="+mn-ea"/>
              <a:cs typeface="+mn-cs"/>
            </a:rPr>
            <a:t>average annual all-cause healthcare costs</a:t>
          </a:r>
          <a:r>
            <a:rPr lang="en-US" sz="1100" b="0" i="0" u="none" strike="noStrike">
              <a:solidFill>
                <a:schemeClr val="dk1"/>
              </a:solidFill>
              <a:effectLst/>
              <a:latin typeface="+mn-lt"/>
              <a:ea typeface="+mn-ea"/>
              <a:cs typeface="+mn-cs"/>
            </a:rPr>
            <a:t> for an individual with bipolar disorder, particularly within commercially insured populations. A review cited studies with annual all-cause costs ranging from $11k to $47k, with several estimates falling near the $17k mark (e.g., $14.9k-$17.6k from Stensland 2010; $17.2k-$37.5k from Stensland 2010 MCO).</a:t>
          </a:r>
          <a:r>
            <a:rPr lang="en-US" sz="1100" b="0" i="0" u="none" strike="noStrike" baseline="30000">
              <a:solidFill>
                <a:schemeClr val="dk1"/>
              </a:solidFill>
              <a:effectLst/>
              <a:latin typeface="+mn-lt"/>
              <a:ea typeface="+mn-ea"/>
              <a:cs typeface="+mn-cs"/>
            </a:rPr>
            <a:t>103</a:t>
          </a:r>
          <a:r>
            <a:rPr lang="en-US" sz="1100" b="0" i="0" u="none" strike="noStrike">
              <a:solidFill>
                <a:schemeClr val="dk1"/>
              </a:solidFill>
              <a:effectLst/>
              <a:latin typeface="+mn-lt"/>
              <a:ea typeface="+mn-ea"/>
              <a:cs typeface="+mn-cs"/>
            </a:rPr>
            <a:t> This figure likely reflects total healthcare utilization for these patients, not just costs specific to bipolar medications or therapy.</a:t>
          </a:r>
        </a:p>
        <a:p>
          <a:pPr rtl="0" fontAlgn="base"/>
          <a:r>
            <a:rPr lang="en-US" sz="1100" b="1" i="0" u="none" strike="noStrike">
              <a:solidFill>
                <a:schemeClr val="dk1"/>
              </a:solidFill>
              <a:effectLst/>
              <a:latin typeface="+mn-lt"/>
              <a:ea typeface="+mn-ea"/>
              <a:cs typeface="+mn-cs"/>
            </a:rPr>
            <a:t>Cancer Patient Visit</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$21,329</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estimate of </a:t>
          </a:r>
          <a:r>
            <a:rPr lang="en-US" sz="1100" b="0" i="1" u="none" strike="noStrike">
              <a:solidFill>
                <a:schemeClr val="dk1"/>
              </a:solidFill>
              <a:effectLst/>
              <a:latin typeface="+mn-lt"/>
              <a:ea typeface="+mn-ea"/>
              <a:cs typeface="+mn-cs"/>
            </a:rPr>
            <a:t>average annual total healthcare expenditures</a:t>
          </a:r>
          <a:r>
            <a:rPr lang="en-US" sz="1100" b="0" i="0" u="none" strike="noStrike">
              <a:solidFill>
                <a:schemeClr val="dk1"/>
              </a:solidFill>
              <a:effectLst/>
              <a:latin typeface="+mn-lt"/>
              <a:ea typeface="+mn-ea"/>
              <a:cs typeface="+mn-cs"/>
            </a:rPr>
            <a:t> for a cancer patient. MEPS data (2016-2019) showed average annual total expenditures ranging from $13.7k (NMSC) to $19.4k (melanoma) to $23.7k (other cancers).</a:t>
          </a:r>
          <a:r>
            <a:rPr lang="en-US" sz="1100" b="0" i="0" u="none" strike="noStrike" baseline="30000">
              <a:solidFill>
                <a:schemeClr val="dk1"/>
              </a:solidFill>
              <a:effectLst/>
              <a:latin typeface="+mn-lt"/>
              <a:ea typeface="+mn-ea"/>
              <a:cs typeface="+mn-cs"/>
            </a:rPr>
            <a:t>104</a:t>
          </a:r>
          <a:r>
            <a:rPr lang="en-US" sz="1100" b="0" i="0" u="none" strike="noStrike">
              <a:solidFill>
                <a:schemeClr val="dk1"/>
              </a:solidFill>
              <a:effectLst/>
              <a:latin typeface="+mn-lt"/>
              <a:ea typeface="+mn-ea"/>
              <a:cs typeface="+mn-cs"/>
            </a:rPr>
            <a:t> The $21,329 figure fits well within this range, likely representing an average across various cancer types and stages. It does not represent the cost of a single visit.</a:t>
          </a:r>
        </a:p>
        <a:p>
          <a:pPr rtl="0" fontAlgn="base"/>
          <a:r>
            <a:rPr lang="en-US" sz="1100" b="1" i="0" u="none" strike="noStrike">
              <a:solidFill>
                <a:schemeClr val="dk1"/>
              </a:solidFill>
              <a:effectLst/>
              <a:latin typeface="+mn-lt"/>
              <a:ea typeface="+mn-ea"/>
              <a:cs typeface="+mn-cs"/>
            </a:rPr>
            <a:t>Depression Treatment</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$13,200</a:t>
          </a:r>
          <a:r>
            <a:rPr lang="en-US" sz="1100" b="0" i="0" u="none" strike="noStrike">
              <a:solidFill>
                <a:schemeClr val="dk1"/>
              </a:solidFill>
              <a:effectLst/>
              <a:latin typeface="+mn-lt"/>
              <a:ea typeface="+mn-ea"/>
              <a:cs typeface="+mn-cs"/>
            </a:rPr>
            <a:t> appears </a:t>
          </a:r>
          <a:r>
            <a:rPr lang="en-US" sz="1100" b="1" i="0" u="none" strike="noStrike">
              <a:solidFill>
                <a:schemeClr val="dk1"/>
              </a:solidFill>
              <a:effectLst/>
              <a:latin typeface="+mn-lt"/>
              <a:ea typeface="+mn-ea"/>
              <a:cs typeface="+mn-cs"/>
            </a:rPr>
            <a:t>high</a:t>
          </a:r>
          <a:r>
            <a:rPr lang="en-US" sz="1100" b="0" i="0" u="none" strike="noStrike">
              <a:solidFill>
                <a:schemeClr val="dk1"/>
              </a:solidFill>
              <a:effectLst/>
              <a:latin typeface="+mn-lt"/>
              <a:ea typeface="+mn-ea"/>
              <a:cs typeface="+mn-cs"/>
            </a:rPr>
            <a:t> compared to typical average annual treatment costs derived from MEPS data.</a:t>
          </a:r>
          <a:r>
            <a:rPr lang="en-US" sz="1100" b="0" i="0" u="none" strike="noStrike" baseline="30000">
              <a:solidFill>
                <a:schemeClr val="dk1"/>
              </a:solidFill>
              <a:effectLst/>
              <a:latin typeface="+mn-lt"/>
              <a:ea typeface="+mn-ea"/>
              <a:cs typeface="+mn-cs"/>
            </a:rPr>
            <a:t>95</a:t>
          </a:r>
          <a:r>
            <a:rPr lang="en-US" sz="1100" b="0" i="0" u="none" strike="noStrike">
              <a:solidFill>
                <a:schemeClr val="dk1"/>
              </a:solidFill>
              <a:effectLst/>
              <a:latin typeface="+mn-lt"/>
              <a:ea typeface="+mn-ea"/>
              <a:cs typeface="+mn-cs"/>
            </a:rPr>
            <a:t> While national spending on depression is substantial and increasing </a:t>
          </a:r>
          <a:r>
            <a:rPr lang="en-US" sz="1100" b="0" i="0" u="none" strike="noStrike" baseline="30000">
              <a:solidFill>
                <a:schemeClr val="dk1"/>
              </a:solidFill>
              <a:effectLst/>
              <a:latin typeface="+mn-lt"/>
              <a:ea typeface="+mn-ea"/>
              <a:cs typeface="+mn-cs"/>
            </a:rPr>
            <a:t>106</a:t>
          </a:r>
          <a:r>
            <a:rPr lang="en-US" sz="1100" b="0" i="0" u="none" strike="noStrike">
              <a:solidFill>
                <a:schemeClr val="dk1"/>
              </a:solidFill>
              <a:effectLst/>
              <a:latin typeface="+mn-lt"/>
              <a:ea typeface="+mn-ea"/>
              <a:cs typeface="+mn-cs"/>
            </a:rPr>
            <a:t>, per-person average annual expenditures for treatment are generally much lower. This figure might reflect costs for severe, treatment-resistant depression, inclusion of inpatient care, or incorporation of indirect costs (e.g., lost productivity), but lacks verification as an average treatment cost.</a:t>
          </a:r>
        </a:p>
        <a:p>
          <a:pPr rtl="0" fontAlgn="base"/>
          <a:r>
            <a:rPr lang="en-US" sz="1100" b="1" i="0" u="none" strike="noStrike">
              <a:solidFill>
                <a:schemeClr val="dk1"/>
              </a:solidFill>
              <a:effectLst/>
              <a:latin typeface="+mn-lt"/>
              <a:ea typeface="+mn-ea"/>
              <a:cs typeface="+mn-cs"/>
            </a:rPr>
            <a:t>Eating Disorder</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$46,130</a:t>
          </a:r>
          <a:r>
            <a:rPr lang="en-US" sz="1100" b="0" i="0" u="none" strike="noStrike">
              <a:solidFill>
                <a:schemeClr val="dk1"/>
              </a:solidFill>
              <a:effectLst/>
              <a:latin typeface="+mn-lt"/>
              <a:ea typeface="+mn-ea"/>
              <a:cs typeface="+mn-cs"/>
            </a:rPr>
            <a:t> shows a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with recent cost estimates. A comprehensive 2021 cost-of-illness study estimated the average annual </a:t>
          </a:r>
          <a:r>
            <a:rPr lang="en-US" sz="1100" b="0" i="1" u="none" strike="noStrike">
              <a:solidFill>
                <a:schemeClr val="dk1"/>
              </a:solidFill>
              <a:effectLst/>
              <a:latin typeface="+mn-lt"/>
              <a:ea typeface="+mn-ea"/>
              <a:cs typeface="+mn-cs"/>
            </a:rPr>
            <a:t>societal</a:t>
          </a:r>
          <a:r>
            <a:rPr lang="en-US" sz="1100" b="0" i="0" u="none" strike="noStrike">
              <a:solidFill>
                <a:schemeClr val="dk1"/>
              </a:solidFill>
              <a:effectLst/>
              <a:latin typeface="+mn-lt"/>
              <a:ea typeface="+mn-ea"/>
              <a:cs typeface="+mn-cs"/>
            </a:rPr>
            <a:t> cost per person at $11,808 </a:t>
          </a:r>
          <a:r>
            <a:rPr lang="en-US" sz="1100" b="0" i="0" u="none" strike="noStrike" baseline="30000">
              <a:solidFill>
                <a:schemeClr val="dk1"/>
              </a:solidFill>
              <a:effectLst/>
              <a:latin typeface="+mn-lt"/>
              <a:ea typeface="+mn-ea"/>
              <a:cs typeface="+mn-cs"/>
            </a:rPr>
            <a:t>107</a:t>
          </a:r>
          <a:r>
            <a:rPr lang="en-US" sz="1100" b="0" i="0" u="none" strike="noStrike">
              <a:solidFill>
                <a:schemeClr val="dk1"/>
              </a:solidFill>
              <a:effectLst/>
              <a:latin typeface="+mn-lt"/>
              <a:ea typeface="+mn-ea"/>
              <a:cs typeface="+mn-cs"/>
            </a:rPr>
            <a:t>, while average annual </a:t>
          </a:r>
          <a:r>
            <a:rPr lang="en-US" sz="1100" b="0" i="1" u="none" strike="noStrike">
              <a:solidFill>
                <a:schemeClr val="dk1"/>
              </a:solidFill>
              <a:effectLst/>
              <a:latin typeface="+mn-lt"/>
              <a:ea typeface="+mn-ea"/>
              <a:cs typeface="+mn-cs"/>
            </a:rPr>
            <a:t>total healthcare spending</a:t>
          </a:r>
          <a:r>
            <a:rPr lang="en-US" sz="1100" b="0" i="0" u="none" strike="noStrike">
              <a:solidFill>
                <a:schemeClr val="dk1"/>
              </a:solidFill>
              <a:effectLst/>
              <a:latin typeface="+mn-lt"/>
              <a:ea typeface="+mn-ea"/>
              <a:cs typeface="+mn-cs"/>
            </a:rPr>
            <a:t> for insured individuals with eating disorders was found to be $29,456 in another 2022 study.</a:t>
          </a:r>
          <a:r>
            <a:rPr lang="en-US" sz="1100" b="0" i="0" u="none" strike="noStrike" baseline="30000">
              <a:solidFill>
                <a:schemeClr val="dk1"/>
              </a:solidFill>
              <a:effectLst/>
              <a:latin typeface="+mn-lt"/>
              <a:ea typeface="+mn-ea"/>
              <a:cs typeface="+mn-cs"/>
            </a:rPr>
            <a:t>108</a:t>
          </a:r>
          <a:r>
            <a:rPr lang="en-US" sz="1100" b="0" i="0" u="none" strike="noStrike">
              <a:solidFill>
                <a:schemeClr val="dk1"/>
              </a:solidFill>
              <a:effectLst/>
              <a:latin typeface="+mn-lt"/>
              <a:ea typeface="+mn-ea"/>
              <a:cs typeface="+mn-cs"/>
            </a:rPr>
            <a:t> The $46,130 figure is substantially higher and may represent costs for patients requiring intensive, long-term residential care, include significant indirect costs not fully captured in the cited studies, or be derived from a different methodology or population.</a:t>
          </a:r>
        </a:p>
        <a:p>
          <a:pPr rtl="0" fontAlgn="base"/>
          <a:r>
            <a:rPr lang="en-US" sz="1100" b="1" i="0" u="none" strike="noStrike">
              <a:solidFill>
                <a:schemeClr val="dk1"/>
              </a:solidFill>
              <a:effectLst/>
              <a:latin typeface="+mn-lt"/>
              <a:ea typeface="+mn-ea"/>
              <a:cs typeface="+mn-cs"/>
            </a:rPr>
            <a:t>Epilepsy</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$4,009</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estimate of the </a:t>
          </a:r>
          <a:r>
            <a:rPr lang="en-US" sz="1100" b="0" i="1" u="none" strike="noStrike">
              <a:solidFill>
                <a:schemeClr val="dk1"/>
              </a:solidFill>
              <a:effectLst/>
              <a:latin typeface="+mn-lt"/>
              <a:ea typeface="+mn-ea"/>
              <a:cs typeface="+mn-cs"/>
            </a:rPr>
            <a:t>average annual incremental direct medical cost</a:t>
          </a:r>
          <a:r>
            <a:rPr lang="en-US" sz="1100" b="0" i="0" u="none" strike="noStrike">
              <a:solidFill>
                <a:schemeClr val="dk1"/>
              </a:solidFill>
              <a:effectLst/>
              <a:latin typeface="+mn-lt"/>
              <a:ea typeface="+mn-ea"/>
              <a:cs typeface="+mn-cs"/>
            </a:rPr>
            <a:t> associated with epilepsy. Recent MEPS analyses (2010-2018 data) calculated this incremental cost (difference in spending between epilepsy patients and matched controls) at $4,580.</a:t>
          </a:r>
          <a:r>
            <a:rPr lang="en-US" sz="1100" b="0" i="0" u="none" strike="noStrike" baseline="30000">
              <a:solidFill>
                <a:schemeClr val="dk1"/>
              </a:solidFill>
              <a:effectLst/>
              <a:latin typeface="+mn-lt"/>
              <a:ea typeface="+mn-ea"/>
              <a:cs typeface="+mn-cs"/>
            </a:rPr>
            <a:t>109</a:t>
          </a:r>
          <a:r>
            <a:rPr lang="en-US" sz="1100" b="0" i="0" u="none" strike="noStrike">
              <a:solidFill>
                <a:schemeClr val="dk1"/>
              </a:solidFill>
              <a:effectLst/>
              <a:latin typeface="+mn-lt"/>
              <a:ea typeface="+mn-ea"/>
              <a:cs typeface="+mn-cs"/>
            </a:rPr>
            <a:t> The $4,009 figure is reasonably close to this estimate. It does not represent the total cost of care for epilepsy patients, which is generally higher.</a:t>
          </a:r>
        </a:p>
        <a:p>
          <a:pPr rtl="0" fontAlgn="base"/>
          <a:r>
            <a:rPr lang="en-US" sz="1100" b="1" i="0" u="none" strike="noStrike">
              <a:solidFill>
                <a:schemeClr val="dk1"/>
              </a:solidFill>
              <a:effectLst/>
              <a:latin typeface="+mn-lt"/>
              <a:ea typeface="+mn-ea"/>
              <a:cs typeface="+mn-cs"/>
            </a:rPr>
            <a:t>Externalizing Disorder</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$18,784</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No information regarding costs specifically for "Externalizing Disorder" was found in the provided research snippets. This diagnostic category often includes conditions like ADHD, Oppositional Defiant Disorder, and Conduct Disorder. Given that verified ADHD costs are much lower, the basis for this figure is unclear.</a:t>
          </a:r>
        </a:p>
        <a:p>
          <a:pPr rtl="0" fontAlgn="base"/>
          <a:r>
            <a:rPr lang="en-US" sz="1100" b="1" i="0" u="none" strike="noStrike">
              <a:solidFill>
                <a:schemeClr val="dk1"/>
              </a:solidFill>
              <a:effectLst/>
              <a:latin typeface="+mn-lt"/>
              <a:ea typeface="+mn-ea"/>
              <a:cs typeface="+mn-cs"/>
            </a:rPr>
            <a:t>Heart Attack (Acute Myocardial Infarction)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$53,384</a:t>
          </a:r>
          <a:r>
            <a:rPr lang="en-US" sz="1100" b="0" i="0" u="none" strike="noStrike">
              <a:solidFill>
                <a:schemeClr val="dk1"/>
              </a:solidFill>
              <a:effectLst/>
              <a:latin typeface="+mn-lt"/>
              <a:ea typeface="+mn-ea"/>
              <a:cs typeface="+mn-cs"/>
            </a:rPr>
            <a:t> shows a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with average costs per hospitalization or average annual per-person costs. HCUP data consistently shows average AMI </a:t>
          </a:r>
          <a:r>
            <a:rPr lang="en-US" sz="1100" b="0" i="1" u="none" strike="noStrike">
              <a:solidFill>
                <a:schemeClr val="dk1"/>
              </a:solidFill>
              <a:effectLst/>
              <a:latin typeface="+mn-lt"/>
              <a:ea typeface="+mn-ea"/>
              <a:cs typeface="+mn-cs"/>
            </a:rPr>
            <a:t>hospitalization costs</a:t>
          </a:r>
          <a:r>
            <a:rPr lang="en-US" sz="1100" b="0" i="0" u="none" strike="noStrike">
              <a:solidFill>
                <a:schemeClr val="dk1"/>
              </a:solidFill>
              <a:effectLst/>
              <a:latin typeface="+mn-lt"/>
              <a:ea typeface="+mn-ea"/>
              <a:cs typeface="+mn-cs"/>
            </a:rPr>
            <a:t> around $18k-$19k </a:t>
          </a:r>
          <a:r>
            <a:rPr lang="en-US" sz="1100" b="0" i="0" u="none" strike="noStrike" baseline="30000">
              <a:solidFill>
                <a:schemeClr val="dk1"/>
              </a:solidFill>
              <a:effectLst/>
              <a:latin typeface="+mn-lt"/>
              <a:ea typeface="+mn-ea"/>
              <a:cs typeface="+mn-cs"/>
            </a:rPr>
            <a:t>61</a:t>
          </a:r>
          <a:r>
            <a:rPr lang="en-US" sz="1100" b="0" i="0" u="none" strike="noStrike">
              <a:solidFill>
                <a:schemeClr val="dk1"/>
              </a:solidFill>
              <a:effectLst/>
              <a:latin typeface="+mn-lt"/>
              <a:ea typeface="+mn-ea"/>
              <a:cs typeface="+mn-cs"/>
            </a:rPr>
            <a:t>, and MEPS data shows average annual </a:t>
          </a:r>
          <a:r>
            <a:rPr lang="en-US" sz="1100" b="0" i="1" u="none" strike="noStrike">
              <a:solidFill>
                <a:schemeClr val="dk1"/>
              </a:solidFill>
              <a:effectLst/>
              <a:latin typeface="+mn-lt"/>
              <a:ea typeface="+mn-ea"/>
              <a:cs typeface="+mn-cs"/>
            </a:rPr>
            <a:t>per-person</a:t>
          </a:r>
          <a:r>
            <a:rPr lang="en-US" sz="1100" b="0" i="0" u="none" strike="noStrike">
              <a:solidFill>
                <a:schemeClr val="dk1"/>
              </a:solidFill>
              <a:effectLst/>
              <a:latin typeface="+mn-lt"/>
              <a:ea typeface="+mn-ea"/>
              <a:cs typeface="+mn-cs"/>
            </a:rPr>
            <a:t> spending for heart disease around $5.5k.</a:t>
          </a:r>
          <a:r>
            <a:rPr lang="en-US" sz="1100" b="0" i="0" u="none" strike="noStrike" baseline="30000">
              <a:solidFill>
                <a:schemeClr val="dk1"/>
              </a:solidFill>
              <a:effectLst/>
              <a:latin typeface="+mn-lt"/>
              <a:ea typeface="+mn-ea"/>
              <a:cs typeface="+mn-cs"/>
            </a:rPr>
            <a:t>112</a:t>
          </a:r>
          <a:r>
            <a:rPr lang="en-US" sz="1100" b="0" i="0" u="none" strike="noStrike">
              <a:solidFill>
                <a:schemeClr val="dk1"/>
              </a:solidFill>
              <a:effectLst/>
              <a:latin typeface="+mn-lt"/>
              <a:ea typeface="+mn-ea"/>
              <a:cs typeface="+mn-cs"/>
            </a:rPr>
            <a:t> The $53,384 figure is likely too high for an average acute event cost and may represent lifetime costs, societal costs including lost productivity, or potentially hospital charges.</a:t>
          </a:r>
        </a:p>
        <a:p>
          <a:pPr rtl="0" fontAlgn="base"/>
          <a:r>
            <a:rPr lang="en-US" sz="1100" b="1" i="0" u="none" strike="noStrike">
              <a:solidFill>
                <a:schemeClr val="dk1"/>
              </a:solidFill>
              <a:effectLst/>
              <a:latin typeface="+mn-lt"/>
              <a:ea typeface="+mn-ea"/>
              <a:cs typeface="+mn-cs"/>
            </a:rPr>
            <a:t>Hypertension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$758</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being consistent with estimates for </a:t>
          </a:r>
          <a:r>
            <a:rPr lang="en-US" sz="1100" b="0" i="1" u="none" strike="noStrike">
              <a:solidFill>
                <a:schemeClr val="dk1"/>
              </a:solidFill>
              <a:effectLst/>
              <a:latin typeface="+mn-lt"/>
              <a:ea typeface="+mn-ea"/>
              <a:cs typeface="+mn-cs"/>
            </a:rPr>
            <a:t>direct hypertension treatment costs</a:t>
          </a:r>
          <a:r>
            <a:rPr lang="en-US" sz="1100" b="0" i="0" u="none" strike="noStrike">
              <a:solidFill>
                <a:schemeClr val="dk1"/>
              </a:solidFill>
              <a:effectLst/>
              <a:latin typeface="+mn-lt"/>
              <a:ea typeface="+mn-ea"/>
              <a:cs typeface="+mn-cs"/>
            </a:rPr>
            <a:t> only, not the total incremental cost burden. A 2015 study cited in CDC materials estimated direct treatment costs at $776 (2013 dollars) </a:t>
          </a:r>
          <a:r>
            <a:rPr lang="en-US" sz="1100" b="0" i="0" u="none" strike="noStrike" baseline="30000">
              <a:solidFill>
                <a:schemeClr val="dk1"/>
              </a:solidFill>
              <a:effectLst/>
              <a:latin typeface="+mn-lt"/>
              <a:ea typeface="+mn-ea"/>
              <a:cs typeface="+mn-cs"/>
            </a:rPr>
            <a:t>114</a:t>
          </a:r>
          <a:r>
            <a:rPr lang="en-US" sz="1100" b="0" i="0" u="none" strike="noStrike">
              <a:solidFill>
                <a:schemeClr val="dk1"/>
              </a:solidFill>
              <a:effectLst/>
              <a:latin typeface="+mn-lt"/>
              <a:ea typeface="+mn-ea"/>
              <a:cs typeface="+mn-cs"/>
            </a:rPr>
            <a:t>, which aligns closely with $758. This contrasts with much higher estimates ($2,700-$3,000) for the total </a:t>
          </a:r>
          <a:r>
            <a:rPr lang="en-US" sz="1100" b="0" i="1" u="none" strike="noStrike">
              <a:solidFill>
                <a:schemeClr val="dk1"/>
              </a:solidFill>
              <a:effectLst/>
              <a:latin typeface="+mn-lt"/>
              <a:ea typeface="+mn-ea"/>
              <a:cs typeface="+mn-cs"/>
            </a:rPr>
            <a:t>incremental</a:t>
          </a:r>
          <a:r>
            <a:rPr lang="en-US" sz="1100" b="0" i="0" u="none" strike="noStrike">
              <a:solidFill>
                <a:schemeClr val="dk1"/>
              </a:solidFill>
              <a:effectLst/>
              <a:latin typeface="+mn-lt"/>
              <a:ea typeface="+mn-ea"/>
              <a:cs typeface="+mn-cs"/>
            </a:rPr>
            <a:t> annual healthcare expenditures associated with having hypertension.</a:t>
          </a:r>
          <a:r>
            <a:rPr lang="en-US" sz="1100" b="0" i="0" u="none" strike="noStrike" baseline="30000">
              <a:solidFill>
                <a:schemeClr val="dk1"/>
              </a:solidFill>
              <a:effectLst/>
              <a:latin typeface="+mn-lt"/>
              <a:ea typeface="+mn-ea"/>
              <a:cs typeface="+mn-cs"/>
            </a:rPr>
            <a:t>114</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Influenza</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$626</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the average annual expense </a:t>
          </a:r>
          <a:r>
            <a:rPr lang="en-US" sz="1100" b="0" i="1" u="none" strike="noStrike">
              <a:solidFill>
                <a:schemeClr val="dk1"/>
              </a:solidFill>
              <a:effectLst/>
              <a:latin typeface="+mn-lt"/>
              <a:ea typeface="+mn-ea"/>
              <a:cs typeface="+mn-cs"/>
            </a:rPr>
            <a:t>per person treated</a:t>
          </a:r>
          <a:r>
            <a:rPr lang="en-US" sz="1100" b="0" i="0" u="none" strike="noStrike">
              <a:solidFill>
                <a:schemeClr val="dk1"/>
              </a:solidFill>
              <a:effectLst/>
              <a:latin typeface="+mn-lt"/>
              <a:ea typeface="+mn-ea"/>
              <a:cs typeface="+mn-cs"/>
            </a:rPr>
            <a:t> for influenza, aligning closely with the $587 average found in 2017 MEPS data.</a:t>
          </a:r>
          <a:r>
            <a:rPr lang="en-US" sz="1100" b="0" i="0" u="none" strike="noStrike" baseline="30000">
              <a:solidFill>
                <a:schemeClr val="dk1"/>
              </a:solidFill>
              <a:effectLst/>
              <a:latin typeface="+mn-lt"/>
              <a:ea typeface="+mn-ea"/>
              <a:cs typeface="+mn-cs"/>
            </a:rPr>
            <a:t>117</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Kidney Disease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$5,104</a:t>
          </a:r>
          <a:r>
            <a:rPr lang="en-US" sz="1100" b="0" i="0" u="none" strike="noStrike">
              <a:solidFill>
                <a:schemeClr val="dk1"/>
              </a:solidFill>
              <a:effectLst/>
              <a:latin typeface="+mn-lt"/>
              <a:ea typeface="+mn-ea"/>
              <a:cs typeface="+mn-cs"/>
            </a:rPr>
            <a:t> shows a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with recent estimates. It is lower than the MEPS 2003-2007 average annual expenditure per adult treated ($6,823 </a:t>
          </a:r>
          <a:r>
            <a:rPr lang="en-US" sz="1100" b="0" i="0" u="none" strike="noStrike" baseline="30000">
              <a:solidFill>
                <a:schemeClr val="dk1"/>
              </a:solidFill>
              <a:effectLst/>
              <a:latin typeface="+mn-lt"/>
              <a:ea typeface="+mn-ea"/>
              <a:cs typeface="+mn-cs"/>
            </a:rPr>
            <a:t>118</a:t>
          </a:r>
          <a:r>
            <a:rPr lang="en-US" sz="1100" b="0" i="0" u="none" strike="noStrike">
              <a:solidFill>
                <a:schemeClr val="dk1"/>
              </a:solidFill>
              <a:effectLst/>
              <a:latin typeface="+mn-lt"/>
              <a:ea typeface="+mn-ea"/>
              <a:cs typeface="+mn-cs"/>
            </a:rPr>
            <a:t>) and significantly lower than recent Medicare per-person per-year spending for beneficiaries with CKD ($27k+ </a:t>
          </a:r>
          <a:r>
            <a:rPr lang="en-US" sz="1100" b="0" i="0" u="none" strike="noStrike" baseline="30000">
              <a:solidFill>
                <a:schemeClr val="dk1"/>
              </a:solidFill>
              <a:effectLst/>
              <a:latin typeface="+mn-lt"/>
              <a:ea typeface="+mn-ea"/>
              <a:cs typeface="+mn-cs"/>
            </a:rPr>
            <a:t>119</a:t>
          </a:r>
          <a:r>
            <a:rPr lang="en-US" sz="1100" b="0" i="0" u="none" strike="noStrike">
              <a:solidFill>
                <a:schemeClr val="dk1"/>
              </a:solidFill>
              <a:effectLst/>
              <a:latin typeface="+mn-lt"/>
              <a:ea typeface="+mn-ea"/>
              <a:cs typeface="+mn-cs"/>
            </a:rPr>
            <a:t>). The NIDA estimate of $5,624 </a:t>
          </a:r>
          <a:r>
            <a:rPr lang="en-US" sz="1100" b="0" i="0" u="none" strike="noStrike" baseline="30000">
              <a:solidFill>
                <a:schemeClr val="dk1"/>
              </a:solidFill>
              <a:effectLst/>
              <a:latin typeface="+mn-lt"/>
              <a:ea typeface="+mn-ea"/>
              <a:cs typeface="+mn-cs"/>
            </a:rPr>
            <a:t>120</a:t>
          </a:r>
          <a:r>
            <a:rPr lang="en-US" sz="1100" b="0" i="0" u="none" strike="noStrike">
              <a:solidFill>
                <a:schemeClr val="dk1"/>
              </a:solidFill>
              <a:effectLst/>
              <a:latin typeface="+mn-lt"/>
              <a:ea typeface="+mn-ea"/>
              <a:cs typeface="+mn-cs"/>
            </a:rPr>
            <a:t> is closer but lacks context. The $5,104 figure may be outdated or represent a specific, less severe stage or subset of costs.</a:t>
          </a:r>
        </a:p>
        <a:p>
          <a:pPr rtl="0" fontAlgn="base"/>
          <a:r>
            <a:rPr lang="en-US" sz="1100" b="1" i="0" u="none" strike="noStrike">
              <a:solidFill>
                <a:schemeClr val="dk1"/>
              </a:solidFill>
              <a:effectLst/>
              <a:latin typeface="+mn-lt"/>
              <a:ea typeface="+mn-ea"/>
              <a:cs typeface="+mn-cs"/>
            </a:rPr>
            <a:t>Lupus</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$2,212</a:t>
          </a:r>
          <a:r>
            <a:rPr lang="en-US" sz="1100" b="0" i="0" u="none" strike="noStrike">
              <a:solidFill>
                <a:schemeClr val="dk1"/>
              </a:solidFill>
              <a:effectLst/>
              <a:latin typeface="+mn-lt"/>
              <a:ea typeface="+mn-ea"/>
              <a:cs typeface="+mn-cs"/>
            </a:rPr>
            <a:t> shows a significant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and appears </a:t>
          </a:r>
          <a:r>
            <a:rPr lang="en-US" sz="1100" b="1" i="0" u="none" strike="noStrike">
              <a:solidFill>
                <a:schemeClr val="dk1"/>
              </a:solidFill>
              <a:effectLst/>
              <a:latin typeface="+mn-lt"/>
              <a:ea typeface="+mn-ea"/>
              <a:cs typeface="+mn-cs"/>
            </a:rPr>
            <a:t>erroneously low</a:t>
          </a:r>
          <a:r>
            <a:rPr lang="en-US" sz="1100" b="0" i="0" u="none" strike="noStrike">
              <a:solidFill>
                <a:schemeClr val="dk1"/>
              </a:solidFill>
              <a:effectLst/>
              <a:latin typeface="+mn-lt"/>
              <a:ea typeface="+mn-ea"/>
              <a:cs typeface="+mn-cs"/>
            </a:rPr>
            <a:t>. Recent studies consistently report average annual direct medical costs for lupus starting around $13,000 even for mild cases, and increasing substantially with severity.</a:t>
          </a:r>
          <a:r>
            <a:rPr lang="en-US" sz="1100" b="0" i="0" u="none" strike="noStrike" baseline="30000">
              <a:solidFill>
                <a:schemeClr val="dk1"/>
              </a:solidFill>
              <a:effectLst/>
              <a:latin typeface="+mn-lt"/>
              <a:ea typeface="+mn-ea"/>
              <a:cs typeface="+mn-cs"/>
            </a:rPr>
            <a:t>121</a:t>
          </a:r>
          <a:r>
            <a:rPr lang="en-US" sz="1100" b="0" i="0" u="none" strike="noStrike">
              <a:solidFill>
                <a:schemeClr val="dk1"/>
              </a:solidFill>
              <a:effectLst/>
              <a:latin typeface="+mn-lt"/>
              <a:ea typeface="+mn-ea"/>
              <a:cs typeface="+mn-cs"/>
            </a:rPr>
            <a:t> $2,212 does not align with any credible estimate for average annual lupus care costs.</a:t>
          </a:r>
        </a:p>
        <a:p>
          <a:pPr rtl="0" fontAlgn="base"/>
          <a:r>
            <a:rPr lang="en-US" sz="1100" b="1" i="0" u="none" strike="noStrike">
              <a:solidFill>
                <a:schemeClr val="dk1"/>
              </a:solidFill>
              <a:effectLst/>
              <a:latin typeface="+mn-lt"/>
              <a:ea typeface="+mn-ea"/>
              <a:cs typeface="+mn-cs"/>
            </a:rPr>
            <a:t>Mental health admission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$9,879</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average cost for certain types of mental health admissions, although higher than the overall 2016 average ($7,100) for stays principally for Mental and Substance Use Disorders (MSUDs) reported by HCUP.</a:t>
          </a:r>
          <a:r>
            <a:rPr lang="en-US" sz="1100" b="0" i="0" u="none" strike="noStrike" baseline="30000">
              <a:solidFill>
                <a:schemeClr val="dk1"/>
              </a:solidFill>
              <a:effectLst/>
              <a:latin typeface="+mn-lt"/>
              <a:ea typeface="+mn-ea"/>
              <a:cs typeface="+mn-cs"/>
            </a:rPr>
            <a:t>124</a:t>
          </a:r>
          <a:r>
            <a:rPr lang="en-US" sz="1100" b="0" i="0" u="none" strike="noStrike">
              <a:solidFill>
                <a:schemeClr val="dk1"/>
              </a:solidFill>
              <a:effectLst/>
              <a:latin typeface="+mn-lt"/>
              <a:ea typeface="+mn-ea"/>
              <a:cs typeface="+mn-cs"/>
            </a:rPr>
            <a:t> It falls within the range of costs for specific conditions like schizophrenia ($8,900 average stay cost in 2016 </a:t>
          </a:r>
          <a:r>
            <a:rPr lang="en-US" sz="1100" b="0" i="0" u="none" strike="noStrike" baseline="30000">
              <a:solidFill>
                <a:schemeClr val="dk1"/>
              </a:solidFill>
              <a:effectLst/>
              <a:latin typeface="+mn-lt"/>
              <a:ea typeface="+mn-ea"/>
              <a:cs typeface="+mn-cs"/>
            </a:rPr>
            <a:t>124</a:t>
          </a:r>
          <a:r>
            <a:rPr lang="en-US" sz="1100" b="0" i="0" u="none" strike="noStrike">
              <a:solidFill>
                <a:schemeClr val="dk1"/>
              </a:solidFill>
              <a:effectLst/>
              <a:latin typeface="+mn-lt"/>
              <a:ea typeface="+mn-ea"/>
              <a:cs typeface="+mn-cs"/>
            </a:rPr>
            <a:t>).</a:t>
          </a:r>
        </a:p>
        <a:p>
          <a:pPr rtl="0" fontAlgn="base"/>
          <a:r>
            <a:rPr lang="en-US" sz="1100" b="1" i="0" u="none" strike="noStrike">
              <a:solidFill>
                <a:schemeClr val="dk1"/>
              </a:solidFill>
              <a:effectLst/>
              <a:latin typeface="+mn-lt"/>
              <a:ea typeface="+mn-ea"/>
              <a:cs typeface="+mn-cs"/>
            </a:rPr>
            <a:t>Mental Health Adult</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$2,375</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estimate of average annual mental health expenditure </a:t>
          </a:r>
          <a:r>
            <a:rPr lang="en-US" sz="1100" b="0" i="1" u="none" strike="noStrike">
              <a:solidFill>
                <a:schemeClr val="dk1"/>
              </a:solidFill>
              <a:effectLst/>
              <a:latin typeface="+mn-lt"/>
              <a:ea typeface="+mn-ea"/>
              <a:cs typeface="+mn-cs"/>
            </a:rPr>
            <a:t>per adult treated</a:t>
          </a:r>
          <a:r>
            <a:rPr lang="en-US" sz="1100" b="0" i="0" u="none" strike="noStrike">
              <a:solidFill>
                <a:schemeClr val="dk1"/>
              </a:solidFill>
              <a:effectLst/>
              <a:latin typeface="+mn-lt"/>
              <a:ea typeface="+mn-ea"/>
              <a:cs typeface="+mn-cs"/>
            </a:rPr>
            <a:t>, potentially reflecting more recent data or broader cost inclusion than the $1,751 average found in MEPS 2009-2011 data.</a:t>
          </a:r>
          <a:r>
            <a:rPr lang="en-US" sz="1100" b="0" i="0" u="none" strike="noStrike" baseline="30000">
              <a:solidFill>
                <a:schemeClr val="dk1"/>
              </a:solidFill>
              <a:effectLst/>
              <a:latin typeface="+mn-lt"/>
              <a:ea typeface="+mn-ea"/>
              <a:cs typeface="+mn-cs"/>
            </a:rPr>
            <a:t>125</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Mental Health LOS greater than 24 hrs</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$4,050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ambiguous and unverifiable</a:t>
          </a:r>
          <a:r>
            <a:rPr lang="en-US" sz="1100" b="0" i="0" u="none" strike="noStrike">
              <a:solidFill>
                <a:schemeClr val="dk1"/>
              </a:solidFill>
              <a:effectLst/>
              <a:latin typeface="+mn-lt"/>
              <a:ea typeface="+mn-ea"/>
              <a:cs typeface="+mn-cs"/>
            </a:rPr>
            <a:t> in its current form. It does not clearly correspond to the average cost per MSUD inpatient stay ($7,100 </a:t>
          </a:r>
          <a:r>
            <a:rPr lang="en-US" sz="1100" b="0" i="0" u="none" strike="noStrike" baseline="30000">
              <a:solidFill>
                <a:schemeClr val="dk1"/>
              </a:solidFill>
              <a:effectLst/>
              <a:latin typeface="+mn-lt"/>
              <a:ea typeface="+mn-ea"/>
              <a:cs typeface="+mn-cs"/>
            </a:rPr>
            <a:t>124</a:t>
          </a:r>
          <a:r>
            <a:rPr lang="en-US" sz="1100" b="0" i="0" u="none" strike="noStrike">
              <a:solidFill>
                <a:schemeClr val="dk1"/>
              </a:solidFill>
              <a:effectLst/>
              <a:latin typeface="+mn-lt"/>
              <a:ea typeface="+mn-ea"/>
              <a:cs typeface="+mn-cs"/>
            </a:rPr>
            <a:t>) or a simple per diem calculation based on the average length of stay (6.4 days </a:t>
          </a:r>
          <a:r>
            <a:rPr lang="en-US" sz="1100" b="0" i="0" u="none" strike="noStrike" baseline="30000">
              <a:solidFill>
                <a:schemeClr val="dk1"/>
              </a:solidFill>
              <a:effectLst/>
              <a:latin typeface="+mn-lt"/>
              <a:ea typeface="+mn-ea"/>
              <a:cs typeface="+mn-cs"/>
            </a:rPr>
            <a:t>124</a:t>
          </a:r>
          <a:r>
            <a:rPr lang="en-US" sz="1100" b="0" i="0" u="none" strike="noStrike">
              <a:solidFill>
                <a:schemeClr val="dk1"/>
              </a:solidFill>
              <a:effectLst/>
              <a:latin typeface="+mn-lt"/>
              <a:ea typeface="+mn-ea"/>
              <a:cs typeface="+mn-cs"/>
            </a:rPr>
            <a:t>). Its meaning requires clarification.</a:t>
          </a:r>
        </a:p>
        <a:p>
          <a:pPr rtl="0" fontAlgn="base"/>
          <a:r>
            <a:rPr lang="en-US" sz="1100" b="1" i="0" u="none" strike="noStrike">
              <a:solidFill>
                <a:schemeClr val="dk1"/>
              </a:solidFill>
              <a:effectLst/>
              <a:latin typeface="+mn-lt"/>
              <a:ea typeface="+mn-ea"/>
              <a:cs typeface="+mn-cs"/>
            </a:rPr>
            <a:t>Mental Health Pediatric</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$1,317</a:t>
          </a:r>
          <a:r>
            <a:rPr lang="en-US" sz="1100" b="0" i="0" u="none" strike="noStrike">
              <a:solidFill>
                <a:schemeClr val="dk1"/>
              </a:solidFill>
              <a:effectLst/>
              <a:latin typeface="+mn-lt"/>
              <a:ea typeface="+mn-ea"/>
              <a:cs typeface="+mn-cs"/>
            </a:rPr>
            <a:t> appears </a:t>
          </a:r>
          <a:r>
            <a:rPr lang="en-US" sz="1100" b="1" i="0" u="none" strike="noStrike">
              <a:solidFill>
                <a:schemeClr val="dk1"/>
              </a:solidFill>
              <a:effectLst/>
              <a:latin typeface="+mn-lt"/>
              <a:ea typeface="+mn-ea"/>
              <a:cs typeface="+mn-cs"/>
            </a:rPr>
            <a:t>low</a:t>
          </a:r>
          <a:r>
            <a:rPr lang="en-US" sz="1100" b="0" i="0" u="none" strike="noStrike">
              <a:solidFill>
                <a:schemeClr val="dk1"/>
              </a:solidFill>
              <a:effectLst/>
              <a:latin typeface="+mn-lt"/>
              <a:ea typeface="+mn-ea"/>
              <a:cs typeface="+mn-cs"/>
            </a:rPr>
            <a:t> compared to recent estimates. MEPS data from 2009-2011 showed an average annual expenditure per treated child (5-17) of $2,192 </a:t>
          </a:r>
          <a:r>
            <a:rPr lang="en-US" sz="1100" b="0" i="0" u="none" strike="noStrike" baseline="30000">
              <a:solidFill>
                <a:schemeClr val="dk1"/>
              </a:solidFill>
              <a:effectLst/>
              <a:latin typeface="+mn-lt"/>
              <a:ea typeface="+mn-ea"/>
              <a:cs typeface="+mn-cs"/>
            </a:rPr>
            <a:t>126</a:t>
          </a:r>
          <a:r>
            <a:rPr lang="en-US" sz="1100" b="0" i="0" u="none" strike="noStrike">
              <a:solidFill>
                <a:schemeClr val="dk1"/>
              </a:solidFill>
              <a:effectLst/>
              <a:latin typeface="+mn-lt"/>
              <a:ea typeface="+mn-ea"/>
              <a:cs typeface="+mn-cs"/>
            </a:rPr>
            <a:t>, and a 2024 study found average incremental annual spending of $3,075.</a:t>
          </a:r>
          <a:r>
            <a:rPr lang="en-US" sz="1100" b="0" i="0" u="none" strike="noStrike" baseline="30000">
              <a:solidFill>
                <a:schemeClr val="dk1"/>
              </a:solidFill>
              <a:effectLst/>
              <a:latin typeface="+mn-lt"/>
              <a:ea typeface="+mn-ea"/>
              <a:cs typeface="+mn-cs"/>
            </a:rPr>
            <a:t>127</a:t>
          </a:r>
          <a:r>
            <a:rPr lang="en-US" sz="1100" b="0" i="0" u="none" strike="noStrike">
              <a:solidFill>
                <a:schemeClr val="dk1"/>
              </a:solidFill>
              <a:effectLst/>
              <a:latin typeface="+mn-lt"/>
              <a:ea typeface="+mn-ea"/>
              <a:cs typeface="+mn-cs"/>
            </a:rPr>
            <a:t> $1,317 might represent older data or a narrower definition of costs.</a:t>
          </a:r>
        </a:p>
        <a:p>
          <a:pPr rtl="0" fontAlgn="base"/>
          <a:r>
            <a:rPr lang="en-US" sz="1100" b="1" i="0" u="none" strike="noStrike">
              <a:solidFill>
                <a:schemeClr val="dk1"/>
              </a:solidFill>
              <a:effectLst/>
              <a:latin typeface="+mn-lt"/>
              <a:ea typeface="+mn-ea"/>
              <a:cs typeface="+mn-cs"/>
            </a:rPr>
            <a:t>Pneumonia</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$4,532</a:t>
          </a:r>
          <a:r>
            <a:rPr lang="en-US" sz="1100" b="0" i="0" u="none" strike="noStrike">
              <a:solidFill>
                <a:schemeClr val="dk1"/>
              </a:solidFill>
              <a:effectLst/>
              <a:latin typeface="+mn-lt"/>
              <a:ea typeface="+mn-ea"/>
              <a:cs typeface="+mn-cs"/>
            </a:rPr>
            <a:t> shows a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with average pneumonia </a:t>
          </a:r>
          <a:r>
            <a:rPr lang="en-US" sz="1100" b="0" i="1" u="none" strike="noStrike">
              <a:solidFill>
                <a:schemeClr val="dk1"/>
              </a:solidFill>
              <a:effectLst/>
              <a:latin typeface="+mn-lt"/>
              <a:ea typeface="+mn-ea"/>
              <a:cs typeface="+mn-cs"/>
            </a:rPr>
            <a:t>hospitalization</a:t>
          </a:r>
          <a:r>
            <a:rPr lang="en-US" sz="1100" b="0" i="0" u="none" strike="noStrike">
              <a:solidFill>
                <a:schemeClr val="dk1"/>
              </a:solidFill>
              <a:effectLst/>
              <a:latin typeface="+mn-lt"/>
              <a:ea typeface="+mn-ea"/>
              <a:cs typeface="+mn-cs"/>
            </a:rPr>
            <a:t> costs reported by HCUP, which are typically around $9,000.</a:t>
          </a:r>
          <a:r>
            <a:rPr lang="en-US" sz="1100" b="0" i="0" u="none" strike="noStrike" baseline="30000">
              <a:solidFill>
                <a:schemeClr val="dk1"/>
              </a:solidFill>
              <a:effectLst/>
              <a:latin typeface="+mn-lt"/>
              <a:ea typeface="+mn-ea"/>
              <a:cs typeface="+mn-cs"/>
            </a:rPr>
            <a:t>74</a:t>
          </a:r>
          <a:r>
            <a:rPr lang="en-US" sz="1100" b="0" i="0" u="none" strike="noStrike">
              <a:solidFill>
                <a:schemeClr val="dk1"/>
              </a:solidFill>
              <a:effectLst/>
              <a:latin typeface="+mn-lt"/>
              <a:ea typeface="+mn-ea"/>
              <a:cs typeface="+mn-cs"/>
            </a:rPr>
            <a:t> This lower figure might represent outpatient treatment, less severe cases, or data from a specific payer/year not reflective of the overall inpatient average.</a:t>
          </a:r>
        </a:p>
        <a:p>
          <a:pPr rtl="0" fontAlgn="base"/>
          <a:r>
            <a:rPr lang="en-US" sz="1100" b="1" i="0" u="none" strike="noStrike">
              <a:solidFill>
                <a:schemeClr val="dk1"/>
              </a:solidFill>
              <a:effectLst/>
              <a:latin typeface="+mn-lt"/>
              <a:ea typeface="+mn-ea"/>
              <a:cs typeface="+mn-cs"/>
            </a:rPr>
            <a:t>Psychosis Treatment</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$19,676</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estimate of </a:t>
          </a:r>
          <a:r>
            <a:rPr lang="en-US" sz="1100" b="0" i="1" u="none" strike="noStrike">
              <a:solidFill>
                <a:schemeClr val="dk1"/>
              </a:solidFill>
              <a:effectLst/>
              <a:latin typeface="+mn-lt"/>
              <a:ea typeface="+mn-ea"/>
              <a:cs typeface="+mn-cs"/>
            </a:rPr>
            <a:t>average annual all-cause healthcare costs</a:t>
          </a:r>
          <a:r>
            <a:rPr lang="en-US" sz="1100" b="0" i="0" u="none" strike="noStrike">
              <a:solidFill>
                <a:schemeClr val="dk1"/>
              </a:solidFill>
              <a:effectLst/>
              <a:latin typeface="+mn-lt"/>
              <a:ea typeface="+mn-ea"/>
              <a:cs typeface="+mn-cs"/>
            </a:rPr>
            <a:t> for an individual with a psychotic disorder. While higher than costs reported in a specific first-episode psychosis treatment trial (~$13k-$15.5k </a:t>
          </a:r>
          <a:r>
            <a:rPr lang="en-US" sz="1100" b="0" i="0" u="none" strike="noStrike" baseline="30000">
              <a:solidFill>
                <a:schemeClr val="dk1"/>
              </a:solidFill>
              <a:effectLst/>
              <a:latin typeface="+mn-lt"/>
              <a:ea typeface="+mn-ea"/>
              <a:cs typeface="+mn-cs"/>
            </a:rPr>
            <a:t>128</a:t>
          </a:r>
          <a:r>
            <a:rPr lang="en-US" sz="1100" b="0" i="0" u="none" strike="noStrike">
              <a:solidFill>
                <a:schemeClr val="dk1"/>
              </a:solidFill>
              <a:effectLst/>
              <a:latin typeface="+mn-lt"/>
              <a:ea typeface="+mn-ea"/>
              <a:cs typeface="+mn-cs"/>
            </a:rPr>
            <a:t>), it reasonably accounts for the potential need for hospitalizations (which are costly for conditions like schizophrenia </a:t>
          </a:r>
          <a:r>
            <a:rPr lang="en-US" sz="1100" b="0" i="0" u="none" strike="noStrike" baseline="30000">
              <a:solidFill>
                <a:schemeClr val="dk1"/>
              </a:solidFill>
              <a:effectLst/>
              <a:latin typeface="+mn-lt"/>
              <a:ea typeface="+mn-ea"/>
              <a:cs typeface="+mn-cs"/>
            </a:rPr>
            <a:t>124</a:t>
          </a:r>
          <a:r>
            <a:rPr lang="en-US" sz="1100" b="0" i="0" u="none" strike="noStrike">
              <a:solidFill>
                <a:schemeClr val="dk1"/>
              </a:solidFill>
              <a:effectLst/>
              <a:latin typeface="+mn-lt"/>
              <a:ea typeface="+mn-ea"/>
              <a:cs typeface="+mn-cs"/>
            </a:rPr>
            <a:t>), polypharmacy, and management of comorbidities often associated with psychotic disorders.</a:t>
          </a:r>
        </a:p>
        <a:p>
          <a:pPr rtl="0" fontAlgn="base"/>
          <a:r>
            <a:rPr lang="en-US" sz="1100" b="1" i="0" u="none" strike="noStrike">
              <a:solidFill>
                <a:schemeClr val="dk1"/>
              </a:solidFill>
              <a:effectLst/>
              <a:latin typeface="+mn-lt"/>
              <a:ea typeface="+mn-ea"/>
              <a:cs typeface="+mn-cs"/>
            </a:rPr>
            <a:t>Stroke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$31,218</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estimate of </a:t>
          </a:r>
          <a:r>
            <a:rPr lang="en-US" sz="1100" b="0" i="1" u="none" strike="noStrike">
              <a:solidFill>
                <a:schemeClr val="dk1"/>
              </a:solidFill>
              <a:effectLst/>
              <a:latin typeface="+mn-lt"/>
              <a:ea typeface="+mn-ea"/>
              <a:cs typeface="+mn-cs"/>
            </a:rPr>
            <a:t>total annual costs</a:t>
          </a:r>
          <a:r>
            <a:rPr lang="en-US" sz="1100" b="0" i="0" u="none" strike="noStrike">
              <a:solidFill>
                <a:schemeClr val="dk1"/>
              </a:solidFill>
              <a:effectLst/>
              <a:latin typeface="+mn-lt"/>
              <a:ea typeface="+mn-ea"/>
              <a:cs typeface="+mn-cs"/>
            </a:rPr>
            <a:t> for patients experiencing more severe strokes with significant functional impairment (e.g., mRS 4), potentially including rehabilitation and follow-up care, based on ranges reported in literature reviews.</a:t>
          </a:r>
          <a:r>
            <a:rPr lang="en-US" sz="1100" b="0" i="0" u="none" strike="noStrike" baseline="30000">
              <a:solidFill>
                <a:schemeClr val="dk1"/>
              </a:solidFill>
              <a:effectLst/>
              <a:latin typeface="+mn-lt"/>
              <a:ea typeface="+mn-ea"/>
              <a:cs typeface="+mn-cs"/>
            </a:rPr>
            <a:t>129</a:t>
          </a:r>
          <a:r>
            <a:rPr lang="en-US" sz="1100" b="0" i="0" u="none" strike="noStrike">
              <a:solidFill>
                <a:schemeClr val="dk1"/>
              </a:solidFill>
              <a:effectLst/>
              <a:latin typeface="+mn-lt"/>
              <a:ea typeface="+mn-ea"/>
              <a:cs typeface="+mn-cs"/>
            </a:rPr>
            <a:t> It is higher than typical average </a:t>
          </a:r>
          <a:r>
            <a:rPr lang="en-US" sz="1100" b="0" i="1" u="none" strike="noStrike">
              <a:solidFill>
                <a:schemeClr val="dk1"/>
              </a:solidFill>
              <a:effectLst/>
              <a:latin typeface="+mn-lt"/>
              <a:ea typeface="+mn-ea"/>
              <a:cs typeface="+mn-cs"/>
            </a:rPr>
            <a:t>per-stay</a:t>
          </a:r>
          <a:r>
            <a:rPr lang="en-US" sz="1100" b="0" i="0" u="none" strike="noStrike">
              <a:solidFill>
                <a:schemeClr val="dk1"/>
              </a:solidFill>
              <a:effectLst/>
              <a:latin typeface="+mn-lt"/>
              <a:ea typeface="+mn-ea"/>
              <a:cs typeface="+mn-cs"/>
            </a:rPr>
            <a:t> costs ($9k-$20k </a:t>
          </a:r>
          <a:r>
            <a:rPr lang="en-US" sz="1100" b="0" i="0" u="none" strike="noStrike" baseline="30000">
              <a:solidFill>
                <a:schemeClr val="dk1"/>
              </a:solidFill>
              <a:effectLst/>
              <a:latin typeface="+mn-lt"/>
              <a:ea typeface="+mn-ea"/>
              <a:cs typeface="+mn-cs"/>
            </a:rPr>
            <a:t>130</a:t>
          </a:r>
          <a:r>
            <a:rPr lang="en-US" sz="1100" b="0" i="0" u="none" strike="noStrike">
              <a:solidFill>
                <a:schemeClr val="dk1"/>
              </a:solidFill>
              <a:effectLst/>
              <a:latin typeface="+mn-lt"/>
              <a:ea typeface="+mn-ea"/>
              <a:cs typeface="+mn-cs"/>
            </a:rPr>
            <a:t>) or average </a:t>
          </a:r>
          <a:r>
            <a:rPr lang="en-US" sz="1100" b="0" i="1" u="none" strike="noStrike">
              <a:solidFill>
                <a:schemeClr val="dk1"/>
              </a:solidFill>
              <a:effectLst/>
              <a:latin typeface="+mn-lt"/>
              <a:ea typeface="+mn-ea"/>
              <a:cs typeface="+mn-cs"/>
            </a:rPr>
            <a:t>annual per-person</a:t>
          </a:r>
          <a:r>
            <a:rPr lang="en-US" sz="1100" b="0" i="0" u="none" strike="noStrike">
              <a:solidFill>
                <a:schemeClr val="dk1"/>
              </a:solidFill>
              <a:effectLst/>
              <a:latin typeface="+mn-lt"/>
              <a:ea typeface="+mn-ea"/>
              <a:cs typeface="+mn-cs"/>
            </a:rPr>
            <a:t> expenditures ($17k </a:t>
          </a:r>
          <a:r>
            <a:rPr lang="en-US" sz="1100" b="0" i="0" u="none" strike="noStrike" baseline="30000">
              <a:solidFill>
                <a:schemeClr val="dk1"/>
              </a:solidFill>
              <a:effectLst/>
              <a:latin typeface="+mn-lt"/>
              <a:ea typeface="+mn-ea"/>
              <a:cs typeface="+mn-cs"/>
            </a:rPr>
            <a:t>132</a:t>
          </a:r>
          <a:r>
            <a:rPr lang="en-US" sz="1100" b="0" i="0" u="none" strike="noStrike">
              <a:solidFill>
                <a:schemeClr val="dk1"/>
              </a:solidFill>
              <a:effectLst/>
              <a:latin typeface="+mn-lt"/>
              <a:ea typeface="+mn-ea"/>
              <a:cs typeface="+mn-cs"/>
            </a:rPr>
            <a:t>).</a:t>
          </a:r>
        </a:p>
        <a:p>
          <a:pPr rtl="0" fontAlgn="base"/>
          <a:r>
            <a:rPr lang="en-US" sz="1100" b="1" i="0" u="none" strike="noStrike">
              <a:solidFill>
                <a:schemeClr val="dk1"/>
              </a:solidFill>
              <a:effectLst/>
              <a:latin typeface="+mn-lt"/>
              <a:ea typeface="+mn-ea"/>
              <a:cs typeface="+mn-cs"/>
            </a:rPr>
            <a:t>Substance abuse admission</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$12,098</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average cost for a substance abuse-specific inpatient admission. It is higher than the overall average cost for all MSUD admissions ($7,100 in 2016 </a:t>
          </a:r>
          <a:r>
            <a:rPr lang="en-US" sz="1100" b="0" i="0" u="none" strike="noStrike" baseline="30000">
              <a:solidFill>
                <a:schemeClr val="dk1"/>
              </a:solidFill>
              <a:effectLst/>
              <a:latin typeface="+mn-lt"/>
              <a:ea typeface="+mn-ea"/>
              <a:cs typeface="+mn-cs"/>
            </a:rPr>
            <a:t>124</a:t>
          </a:r>
          <a:r>
            <a:rPr lang="en-US" sz="1100" b="0" i="0" u="none" strike="noStrike">
              <a:solidFill>
                <a:schemeClr val="dk1"/>
              </a:solidFill>
              <a:effectLst/>
              <a:latin typeface="+mn-lt"/>
              <a:ea typeface="+mn-ea"/>
              <a:cs typeface="+mn-cs"/>
            </a:rPr>
            <a:t>) but reasonable given that substance abuse treatment can involve detoxification, rehabilitation, and longer stays.</a:t>
          </a:r>
        </a:p>
        <a:p>
          <a:pPr rtl="0" fontAlgn="base"/>
          <a:r>
            <a:rPr lang="en-US" sz="1100" b="1" i="0" u="none" strike="noStrike">
              <a:solidFill>
                <a:schemeClr val="dk1"/>
              </a:solidFill>
              <a:effectLst/>
              <a:latin typeface="+mn-lt"/>
              <a:ea typeface="+mn-ea"/>
              <a:cs typeface="+mn-cs"/>
            </a:rPr>
            <a:t>Substance Use Buprenorphine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$5,980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the estimated average annual cost for a stable patient receiving buprenorphine treatment within an Opioid Treatment Program (OTP), including medication and associated visits, according to a NIDA estimate.</a:t>
          </a:r>
          <a:r>
            <a:rPr lang="en-US" sz="1100" b="0" i="0" u="none" strike="noStrike" baseline="30000">
              <a:solidFill>
                <a:schemeClr val="dk1"/>
              </a:solidFill>
              <a:effectLst/>
              <a:latin typeface="+mn-lt"/>
              <a:ea typeface="+mn-ea"/>
              <a:cs typeface="+mn-cs"/>
            </a:rPr>
            <a:t>120</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Substance Use Disorder ED visit</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$630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average cost for a treat-and-release ED visit related to substance use disorders, aligning with the range of average ED visit costs reported by HCUP for 2017-2021 ($520-$750 </a:t>
          </a:r>
          <a:r>
            <a:rPr lang="en-US" sz="1100" b="0" i="0" u="none" strike="noStrike" baseline="30000">
              <a:solidFill>
                <a:schemeClr val="dk1"/>
              </a:solidFill>
              <a:effectLst/>
              <a:latin typeface="+mn-lt"/>
              <a:ea typeface="+mn-ea"/>
              <a:cs typeface="+mn-cs"/>
            </a:rPr>
            <a:t>59</a:t>
          </a:r>
          <a:r>
            <a:rPr lang="en-US" sz="1100" b="0" i="0" u="none" strike="noStrike">
              <a:solidFill>
                <a:schemeClr val="dk1"/>
              </a:solidFill>
              <a:effectLst/>
              <a:latin typeface="+mn-lt"/>
              <a:ea typeface="+mn-ea"/>
              <a:cs typeface="+mn-cs"/>
            </a:rPr>
            <a:t>).</a:t>
          </a:r>
        </a:p>
        <a:p>
          <a:pPr rtl="0" fontAlgn="base"/>
          <a:r>
            <a:rPr lang="en-US" sz="1100" b="1" i="0" u="none" strike="noStrike">
              <a:solidFill>
                <a:schemeClr val="dk1"/>
              </a:solidFill>
              <a:effectLst/>
              <a:latin typeface="+mn-lt"/>
              <a:ea typeface="+mn-ea"/>
              <a:cs typeface="+mn-cs"/>
            </a:rPr>
            <a:t>Substance Use Naltrexone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$14,112</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the estimated average annual cost for treatment with </a:t>
          </a:r>
          <a:r>
            <a:rPr lang="en-US" sz="1100" b="0" i="1" u="none" strike="noStrike">
              <a:solidFill>
                <a:schemeClr val="dk1"/>
              </a:solidFill>
              <a:effectLst/>
              <a:latin typeface="+mn-lt"/>
              <a:ea typeface="+mn-ea"/>
              <a:cs typeface="+mn-cs"/>
            </a:rPr>
            <a:t>injectable</a:t>
          </a:r>
          <a:r>
            <a:rPr lang="en-US" sz="1100" b="0" i="0" u="none" strike="noStrike">
              <a:solidFill>
                <a:schemeClr val="dk1"/>
              </a:solidFill>
              <a:effectLst/>
              <a:latin typeface="+mn-lt"/>
              <a:ea typeface="+mn-ea"/>
              <a:cs typeface="+mn-cs"/>
            </a:rPr>
            <a:t> naltrexone (Vivitrol) within an OTP setting, including the drug, administration, and related services, according to a NIDA estimate.</a:t>
          </a:r>
          <a:r>
            <a:rPr lang="en-US" sz="1100" b="0" i="0" u="none" strike="noStrike" baseline="30000">
              <a:solidFill>
                <a:schemeClr val="dk1"/>
              </a:solidFill>
              <a:effectLst/>
              <a:latin typeface="+mn-lt"/>
              <a:ea typeface="+mn-ea"/>
              <a:cs typeface="+mn-cs"/>
            </a:rPr>
            <a:t>120</a:t>
          </a:r>
          <a:r>
            <a:rPr lang="en-US" sz="1100" b="0" i="0" u="none" strike="noStrike">
              <a:solidFill>
                <a:schemeClr val="dk1"/>
              </a:solidFill>
              <a:effectLst/>
              <a:latin typeface="+mn-lt"/>
              <a:ea typeface="+mn-ea"/>
              <a:cs typeface="+mn-cs"/>
            </a:rPr>
            <a:t> This is distinct from the much lower cost of oral naltrexone.</a:t>
          </a:r>
        </a:p>
        <a:p>
          <a:pPr rtl="0" fontAlgn="base"/>
          <a:r>
            <a:rPr lang="en-US" sz="1100" b="1" i="0" u="none" strike="noStrike">
              <a:solidFill>
                <a:schemeClr val="dk1"/>
              </a:solidFill>
              <a:effectLst/>
              <a:latin typeface="+mn-lt"/>
              <a:ea typeface="+mn-ea"/>
              <a:cs typeface="+mn-cs"/>
            </a:rPr>
            <a:t>Upper Respiratory Infection (URI)</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$417</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average cost per URI episode, potentially reflecting adult costs or more recent data than the $290 average per child reported in 2012 MEPS data.</a:t>
          </a:r>
          <a:r>
            <a:rPr lang="en-US" sz="1100" b="0" i="0" u="none" strike="noStrike" baseline="30000">
              <a:solidFill>
                <a:schemeClr val="dk1"/>
              </a:solidFill>
              <a:effectLst/>
              <a:latin typeface="+mn-lt"/>
              <a:ea typeface="+mn-ea"/>
              <a:cs typeface="+mn-cs"/>
            </a:rPr>
            <a:t>101</a:t>
          </a:r>
          <a:endParaRPr lang="en-US" sz="1100" b="0" i="0" u="none" strike="noStrike">
            <a:solidFill>
              <a:schemeClr val="dk1"/>
            </a:solidFill>
            <a:effectLst/>
            <a:latin typeface="+mn-lt"/>
            <a:ea typeface="+mn-ea"/>
            <a:cs typeface="+mn-cs"/>
          </a:endParaRPr>
        </a:p>
        <a:p>
          <a:pPr rtl="0"/>
          <a:r>
            <a:rPr lang="en-US" sz="1100" b="1" i="0" u="none" strike="noStrike">
              <a:solidFill>
                <a:schemeClr val="dk1"/>
              </a:solidFill>
              <a:effectLst/>
              <a:latin typeface="+mn-lt"/>
              <a:ea typeface="+mn-ea"/>
              <a:cs typeface="+mn-cs"/>
            </a:rPr>
            <a:t>Analysis of Employee-Related Costs and Programs</a:t>
          </a:r>
          <a:endParaRPr lang="en-US" b="1">
            <a:effectLst/>
          </a:endParaRPr>
        </a:p>
        <a:p>
          <a:pPr rtl="0"/>
          <a:r>
            <a:rPr lang="en-US" sz="1100" b="0" i="0" u="none" strike="noStrike">
              <a:solidFill>
                <a:schemeClr val="dk1"/>
              </a:solidFill>
              <a:effectLst/>
              <a:latin typeface="+mn-lt"/>
              <a:ea typeface="+mn-ea"/>
              <a:cs typeface="+mn-cs"/>
            </a:rPr>
            <a:t>This section examines costs associated with employee health, safety, and related programs within healthcare settings.</a:t>
          </a:r>
          <a:endParaRPr lang="en-US" b="0">
            <a:effectLst/>
          </a:endParaRPr>
        </a:p>
        <a:p>
          <a:pPr rtl="0" fontAlgn="base"/>
          <a:r>
            <a:rPr lang="en-US" sz="1100" b="1" i="0" u="none" strike="noStrike">
              <a:solidFill>
                <a:schemeClr val="dk1"/>
              </a:solidFill>
              <a:effectLst/>
              <a:latin typeface="+mn-lt"/>
              <a:ea typeface="+mn-ea"/>
              <a:cs typeface="+mn-cs"/>
            </a:rPr>
            <a:t>Annual absenteeism</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$1,685</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the estimated annual cost of productivity loss per employee due to absenteeism in the U.S., based on CDC data cited in multiple sources.</a:t>
          </a:r>
          <a:r>
            <a:rPr lang="en-US" sz="1100" b="0" i="0" u="none" strike="noStrike" baseline="30000">
              <a:solidFill>
                <a:schemeClr val="dk1"/>
              </a:solidFill>
              <a:effectLst/>
              <a:latin typeface="+mn-lt"/>
              <a:ea typeface="+mn-ea"/>
              <a:cs typeface="+mn-cs"/>
            </a:rPr>
            <a:t>134</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Employee Injury - needle stick</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$25,523</a:t>
          </a:r>
          <a:r>
            <a:rPr lang="en-US" sz="1100" b="0" i="0" u="none" strike="noStrike">
              <a:solidFill>
                <a:schemeClr val="dk1"/>
              </a:solidFill>
              <a:effectLst/>
              <a:latin typeface="+mn-lt"/>
              <a:ea typeface="+mn-ea"/>
              <a:cs typeface="+mn-cs"/>
            </a:rPr>
            <a:t> shows a significant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with typical costs reported for post-exposure management following a needlestick injury. A systematic review found median direct costs around $425 and indirect costs around 322(2015Int).</a:t>
          </a:r>
          <a:r>
            <a:rPr lang="en-US" sz="1100" b="0" i="0" u="none" strike="noStrike" baseline="30000">
              <a:solidFill>
                <a:schemeClr val="dk1"/>
              </a:solidFill>
              <a:effectLst/>
              <a:latin typeface="+mn-lt"/>
              <a:ea typeface="+mn-ea"/>
              <a:cs typeface="+mn-cs"/>
            </a:rPr>
            <a:t>136</a:t>
          </a:r>
          <a:r>
            <a:rPr lang="en-US" sz="1100" b="0" i="0" u="none" strike="noStrike">
              <a:solidFill>
                <a:schemeClr val="dk1"/>
              </a:solidFill>
              <a:effectLst/>
              <a:latin typeface="+mn-lt"/>
              <a:ea typeface="+mn-ea"/>
              <a:cs typeface="+mn-cs"/>
            </a:rPr>
            <a:t> The $25,523 figure is exceptionally high and might represent costs associated with the rare but serious outcome of disease transmission (e.g., HIV, HCV), include litigation costs, or reflect charges rather than actual costs. It does not represent the average cost of managing a typical exposure event.</a:t>
          </a:r>
        </a:p>
        <a:p>
          <a:pPr rtl="0" fontAlgn="base"/>
          <a:r>
            <a:rPr lang="en-US" sz="1100" b="1" i="0" u="none" strike="noStrike">
              <a:solidFill>
                <a:schemeClr val="dk1"/>
              </a:solidFill>
              <a:effectLst/>
              <a:latin typeface="+mn-lt"/>
              <a:ea typeface="+mn-ea"/>
              <a:cs typeface="+mn-cs"/>
            </a:rPr>
            <a:t>Employee Injury - per incidence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$73,749</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without context regarding the type and severity of the injury. Costs for workplace injuries vary widely. OSHA estimates direct costs for musculoskeletal disorders (MSDs) range from $15k to $85k </a:t>
          </a:r>
          <a:r>
            <a:rPr lang="en-US" sz="1100" b="0" i="0" u="none" strike="noStrike" baseline="30000">
              <a:solidFill>
                <a:schemeClr val="dk1"/>
              </a:solidFill>
              <a:effectLst/>
              <a:latin typeface="+mn-lt"/>
              <a:ea typeface="+mn-ea"/>
              <a:cs typeface="+mn-cs"/>
            </a:rPr>
            <a:t>138</a:t>
          </a:r>
          <a:r>
            <a:rPr lang="en-US" sz="1100" b="0" i="0" u="none" strike="noStrike">
              <a:solidFill>
                <a:schemeClr val="dk1"/>
              </a:solidFill>
              <a:effectLst/>
              <a:latin typeface="+mn-lt"/>
              <a:ea typeface="+mn-ea"/>
              <a:cs typeface="+mn-cs"/>
            </a:rPr>
            <a:t>, and average workers' compensation claims for disabling injuries are around $42k.</a:t>
          </a:r>
          <a:r>
            <a:rPr lang="en-US" sz="1100" b="0" i="0" u="none" strike="noStrike" baseline="30000">
              <a:solidFill>
                <a:schemeClr val="dk1"/>
              </a:solidFill>
              <a:effectLst/>
              <a:latin typeface="+mn-lt"/>
              <a:ea typeface="+mn-ea"/>
              <a:cs typeface="+mn-cs"/>
            </a:rPr>
            <a:t>139</a:t>
          </a:r>
          <a:r>
            <a:rPr lang="en-US" sz="1100" b="0" i="0" u="none" strike="noStrike">
              <a:solidFill>
                <a:schemeClr val="dk1"/>
              </a:solidFill>
              <a:effectLst/>
              <a:latin typeface="+mn-lt"/>
              <a:ea typeface="+mn-ea"/>
              <a:cs typeface="+mn-cs"/>
            </a:rPr>
            <a:t> This figure could potentially represent the total (direct + indirect) cost of a severe injury but lacks specificity.</a:t>
          </a:r>
        </a:p>
        <a:p>
          <a:pPr rtl="0" fontAlgn="base"/>
          <a:r>
            <a:rPr lang="en-US" sz="1100" b="1" i="0" u="none" strike="noStrike">
              <a:solidFill>
                <a:schemeClr val="dk1"/>
              </a:solidFill>
              <a:effectLst/>
              <a:latin typeface="+mn-lt"/>
              <a:ea typeface="+mn-ea"/>
              <a:cs typeface="+mn-cs"/>
            </a:rPr>
            <a:t>Employee Injury - musculoskeletal</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$33,140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estimate for the cost of a significant work-related musculoskeletal disorder (MSD) in healthcare. OSHA estimates direct costs for MSDs range up to $80k-$85k </a:t>
          </a:r>
          <a:r>
            <a:rPr lang="en-US" sz="1100" b="0" i="0" u="none" strike="noStrike" baseline="30000">
              <a:solidFill>
                <a:schemeClr val="dk1"/>
              </a:solidFill>
              <a:effectLst/>
              <a:latin typeface="+mn-lt"/>
              <a:ea typeface="+mn-ea"/>
              <a:cs typeface="+mn-cs"/>
            </a:rPr>
            <a:t>138</a:t>
          </a:r>
          <a:r>
            <a:rPr lang="en-US" sz="1100" b="0" i="0" u="none" strike="noStrike">
              <a:solidFill>
                <a:schemeClr val="dk1"/>
              </a:solidFill>
              <a:effectLst/>
              <a:latin typeface="+mn-lt"/>
              <a:ea typeface="+mn-ea"/>
              <a:cs typeface="+mn-cs"/>
            </a:rPr>
            <a:t>, and costs associated with patient handling injuries are substantial ($15.6k average workers' comp claim </a:t>
          </a:r>
          <a:r>
            <a:rPr lang="en-US" sz="1100" b="0" i="0" u="none" strike="noStrike" baseline="30000">
              <a:solidFill>
                <a:schemeClr val="dk1"/>
              </a:solidFill>
              <a:effectLst/>
              <a:latin typeface="+mn-lt"/>
              <a:ea typeface="+mn-ea"/>
              <a:cs typeface="+mn-cs"/>
            </a:rPr>
            <a:t>102</a:t>
          </a:r>
          <a:r>
            <a:rPr lang="en-US" sz="1100" b="0" i="0" u="none" strike="noStrike">
              <a:solidFill>
                <a:schemeClr val="dk1"/>
              </a:solidFill>
              <a:effectLst/>
              <a:latin typeface="+mn-lt"/>
              <a:ea typeface="+mn-ea"/>
              <a:cs typeface="+mn-cs"/>
            </a:rPr>
            <a:t>; $20B annual cost for back injuries </a:t>
          </a:r>
          <a:r>
            <a:rPr lang="en-US" sz="1100" b="0" i="0" u="none" strike="noStrike" baseline="30000">
              <a:solidFill>
                <a:schemeClr val="dk1"/>
              </a:solidFill>
              <a:effectLst/>
              <a:latin typeface="+mn-lt"/>
              <a:ea typeface="+mn-ea"/>
              <a:cs typeface="+mn-cs"/>
            </a:rPr>
            <a:t>140</a:t>
          </a:r>
          <a:r>
            <a:rPr lang="en-US" sz="1100" b="0" i="0" u="none" strike="noStrike">
              <a:solidFill>
                <a:schemeClr val="dk1"/>
              </a:solidFill>
              <a:effectLst/>
              <a:latin typeface="+mn-lt"/>
              <a:ea typeface="+mn-ea"/>
              <a:cs typeface="+mn-cs"/>
            </a:rPr>
            <a:t>). $33,140 falls within the plausible range for direct medical and compensation costs for a moderately severe MSD resulting in lost work time.</a:t>
          </a:r>
        </a:p>
        <a:p>
          <a:pPr rtl="0" fontAlgn="base"/>
          <a:r>
            <a:rPr lang="en-US" sz="1100" b="1" i="0" u="none" strike="noStrike">
              <a:solidFill>
                <a:schemeClr val="dk1"/>
              </a:solidFill>
              <a:effectLst/>
              <a:latin typeface="+mn-lt"/>
              <a:ea typeface="+mn-ea"/>
              <a:cs typeface="+mn-cs"/>
            </a:rPr>
            <a:t>Employee Wellness Program Savings per employee per year</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$358</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the average annual savings in </a:t>
          </a:r>
          <a:r>
            <a:rPr lang="en-US" sz="1100" b="0" i="1" u="none" strike="noStrike">
              <a:solidFill>
                <a:schemeClr val="dk1"/>
              </a:solidFill>
              <a:effectLst/>
              <a:latin typeface="+mn-lt"/>
              <a:ea typeface="+mn-ea"/>
              <a:cs typeface="+mn-cs"/>
            </a:rPr>
            <a:t>medical costs</a:t>
          </a:r>
          <a:r>
            <a:rPr lang="en-US" sz="1100" b="0" i="0" u="none" strike="noStrike">
              <a:solidFill>
                <a:schemeClr val="dk1"/>
              </a:solidFill>
              <a:effectLst/>
              <a:latin typeface="+mn-lt"/>
              <a:ea typeface="+mn-ea"/>
              <a:cs typeface="+mn-cs"/>
            </a:rPr>
            <a:t> per employee participating in a workplace wellness program, based on the meta-analysis by Baicker, Cutler, &amp; Song (2010) published in Health Affairs.</a:t>
          </a:r>
          <a:r>
            <a:rPr lang="en-US" sz="1100" b="0" i="0" u="none" strike="noStrike" baseline="30000">
              <a:solidFill>
                <a:schemeClr val="dk1"/>
              </a:solidFill>
              <a:effectLst/>
              <a:latin typeface="+mn-lt"/>
              <a:ea typeface="+mn-ea"/>
              <a:cs typeface="+mn-cs"/>
            </a:rPr>
            <a:t>141</a:t>
          </a:r>
          <a:r>
            <a:rPr lang="en-US" sz="1100" b="0" i="0" u="none" strike="noStrike">
              <a:solidFill>
                <a:schemeClr val="dk1"/>
              </a:solidFill>
              <a:effectLst/>
              <a:latin typeface="+mn-lt"/>
              <a:ea typeface="+mn-ea"/>
              <a:cs typeface="+mn-cs"/>
            </a:rPr>
            <a:t> This study found medical costs fell by about $3.27 for every dollar spent, with program costs averaging $144 per employee, yielding a net medical cost saving of $358 ($3.27 * $144 - $144 ≈ $358, although the paper directly states $358 savings vs $144 cost). Note that this figure specifically refers to medical cost savings; the same study found additional savings from reduced absenteeism.</a:t>
          </a:r>
          <a:r>
            <a:rPr lang="en-US" sz="1100" b="0" i="0" u="none" strike="noStrike" baseline="30000">
              <a:solidFill>
                <a:schemeClr val="dk1"/>
              </a:solidFill>
              <a:effectLst/>
              <a:latin typeface="+mn-lt"/>
              <a:ea typeface="+mn-ea"/>
              <a:cs typeface="+mn-cs"/>
            </a:rPr>
            <a:t>142</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Violence-Workplace Violence per case</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$6,513</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based on the provided snippets. While workplace violence (WPV) in healthcare is a significant issue with rising rates </a:t>
          </a:r>
          <a:r>
            <a:rPr lang="en-US" sz="1100" b="0" i="0" u="none" strike="noStrike" baseline="30000">
              <a:solidFill>
                <a:schemeClr val="dk1"/>
              </a:solidFill>
              <a:effectLst/>
              <a:latin typeface="+mn-lt"/>
              <a:ea typeface="+mn-ea"/>
              <a:cs typeface="+mn-cs"/>
            </a:rPr>
            <a:t>144</a:t>
          </a:r>
          <a:r>
            <a:rPr lang="en-US" sz="1100" b="0" i="0" u="none" strike="noStrike">
              <a:solidFill>
                <a:schemeClr val="dk1"/>
              </a:solidFill>
              <a:effectLst/>
              <a:latin typeface="+mn-lt"/>
              <a:ea typeface="+mn-ea"/>
              <a:cs typeface="+mn-cs"/>
            </a:rPr>
            <a:t>, specific average cost-per-case data is lacking in the materials. One example cited $94k total cost for 30 injured nurses, averaging $3,138 per nurse for that specific incident.</a:t>
          </a:r>
          <a:r>
            <a:rPr lang="en-US" sz="1100" b="0" i="0" u="none" strike="noStrike" baseline="30000">
              <a:solidFill>
                <a:schemeClr val="dk1"/>
              </a:solidFill>
              <a:effectLst/>
              <a:latin typeface="+mn-lt"/>
              <a:ea typeface="+mn-ea"/>
              <a:cs typeface="+mn-cs"/>
            </a:rPr>
            <a:t>145</a:t>
          </a:r>
          <a:r>
            <a:rPr lang="en-US" sz="1100" b="0" i="0" u="none" strike="noStrike">
              <a:solidFill>
                <a:schemeClr val="dk1"/>
              </a:solidFill>
              <a:effectLst/>
              <a:latin typeface="+mn-lt"/>
              <a:ea typeface="+mn-ea"/>
              <a:cs typeface="+mn-cs"/>
            </a:rPr>
            <a:t> Costs depend heavily on the severity of the incident, including medical treatment, lost work time, potential litigation, and impact on staff morale and turnover.</a:t>
          </a:r>
          <a:r>
            <a:rPr lang="en-US" sz="1100" b="0" i="0" u="none" strike="noStrike" baseline="30000">
              <a:solidFill>
                <a:schemeClr val="dk1"/>
              </a:solidFill>
              <a:effectLst/>
              <a:latin typeface="+mn-lt"/>
              <a:ea typeface="+mn-ea"/>
              <a:cs typeface="+mn-cs"/>
            </a:rPr>
            <a:t>145</a:t>
          </a:r>
          <a:r>
            <a:rPr lang="en-US" sz="1100" b="0" i="0" u="none" strike="noStrike">
              <a:solidFill>
                <a:schemeClr val="dk1"/>
              </a:solidFill>
              <a:effectLst/>
              <a:latin typeface="+mn-lt"/>
              <a:ea typeface="+mn-ea"/>
              <a:cs typeface="+mn-cs"/>
            </a:rPr>
            <a:t> $6,513 is a plausible figure but requires a specific source for verification.</a:t>
          </a:r>
        </a:p>
        <a:p>
          <a:pPr rtl="0" fontAlgn="base"/>
          <a:r>
            <a:rPr lang="en-US" sz="1100" b="1" i="0" u="none" strike="noStrike">
              <a:solidFill>
                <a:schemeClr val="dk1"/>
              </a:solidFill>
              <a:effectLst/>
              <a:latin typeface="+mn-lt"/>
              <a:ea typeface="+mn-ea"/>
              <a:cs typeface="+mn-cs"/>
            </a:rPr>
            <a:t>Violence-Workplace Violence Program</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$2,810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due to ambiguity. It is unclear if this represents the cost per employee, per facility, per year, or another metric for implementing a WPV prevention program. OSHA's preliminary analysis for a proposed standard suggested annual costs around $10,000 per nursing home facility.</a:t>
          </a:r>
          <a:r>
            <a:rPr lang="en-US" sz="1100" b="0" i="0" u="none" strike="noStrike" baseline="30000">
              <a:solidFill>
                <a:schemeClr val="dk1"/>
              </a:solidFill>
              <a:effectLst/>
              <a:latin typeface="+mn-lt"/>
              <a:ea typeface="+mn-ea"/>
              <a:cs typeface="+mn-cs"/>
            </a:rPr>
            <a:t>146</a:t>
          </a:r>
          <a:r>
            <a:rPr lang="en-US" sz="1100" b="0" i="0" u="none" strike="noStrike">
              <a:solidFill>
                <a:schemeClr val="dk1"/>
              </a:solidFill>
              <a:effectLst/>
              <a:latin typeface="+mn-lt"/>
              <a:ea typeface="+mn-ea"/>
              <a:cs typeface="+mn-cs"/>
            </a:rPr>
            <a:t> A California legislative analysis mentioned state enforcement costs but not facility implementation costs.</a:t>
          </a:r>
          <a:r>
            <a:rPr lang="en-US" sz="1100" b="0" i="0" u="none" strike="noStrike" baseline="30000">
              <a:solidFill>
                <a:schemeClr val="dk1"/>
              </a:solidFill>
              <a:effectLst/>
              <a:latin typeface="+mn-lt"/>
              <a:ea typeface="+mn-ea"/>
              <a:cs typeface="+mn-cs"/>
            </a:rPr>
            <a:t>147</a:t>
          </a:r>
          <a:r>
            <a:rPr lang="en-US" sz="1100" b="0" i="0" u="none" strike="noStrike">
              <a:solidFill>
                <a:schemeClr val="dk1"/>
              </a:solidFill>
              <a:effectLst/>
              <a:latin typeface="+mn-lt"/>
              <a:ea typeface="+mn-ea"/>
              <a:cs typeface="+mn-cs"/>
            </a:rPr>
            <a:t> The context of the $2,810 figure is needed for verification.</a:t>
          </a:r>
        </a:p>
        <a:p>
          <a:pPr rtl="0"/>
          <a:r>
            <a:rPr lang="en-US" sz="1100" b="1" i="0" u="none" strike="noStrike">
              <a:solidFill>
                <a:schemeClr val="dk1"/>
              </a:solidFill>
              <a:effectLst/>
              <a:latin typeface="+mn-lt"/>
              <a:ea typeface="+mn-ea"/>
              <a:cs typeface="+mn-cs"/>
            </a:rPr>
            <a:t>Analysis of Staffing and Role-Based Costs</a:t>
          </a:r>
          <a:endParaRPr lang="en-US" b="1">
            <a:effectLst/>
          </a:endParaRPr>
        </a:p>
        <a:p>
          <a:pPr rtl="0"/>
          <a:r>
            <a:rPr lang="en-US" sz="1100" b="0" i="0" u="none" strike="noStrike">
              <a:solidFill>
                <a:schemeClr val="dk1"/>
              </a:solidFill>
              <a:effectLst/>
              <a:latin typeface="+mn-lt"/>
              <a:ea typeface="+mn-ea"/>
              <a:cs typeface="+mn-cs"/>
            </a:rPr>
            <a:t>This section analyzes the verification status of figures related to healthcare staffing wages, salaries, and turnover costs. Note that wages and salaries exhibit significant variation based on geographic location, experience, specialty, work setting (hospital, clinic, nursing home), and employer. Turnover costs also vary based on methodology and the specific components included.</a:t>
          </a:r>
          <a:endParaRPr lang="en-US" b="0">
            <a:effectLst/>
          </a:endParaRPr>
        </a:p>
        <a:p>
          <a:pPr rtl="0" fontAlgn="base"/>
          <a:r>
            <a:rPr lang="en-US" sz="1100" b="1" i="0" u="none" strike="noStrike">
              <a:solidFill>
                <a:schemeClr val="dk1"/>
              </a:solidFill>
              <a:effectLst/>
              <a:latin typeface="+mn-lt"/>
              <a:ea typeface="+mn-ea"/>
              <a:cs typeface="+mn-cs"/>
            </a:rPr>
            <a:t>CNA (Wage: $21.76/hr)</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plausible but higher than the national average</a:t>
          </a:r>
          <a:r>
            <a:rPr lang="en-US" sz="1100" b="0" i="0" u="none" strike="noStrike">
              <a:solidFill>
                <a:schemeClr val="dk1"/>
              </a:solidFill>
              <a:effectLst/>
              <a:latin typeface="+mn-lt"/>
              <a:ea typeface="+mn-ea"/>
              <a:cs typeface="+mn-cs"/>
            </a:rPr>
            <a:t>. The BLS reported a median hourly wage of $18.36 for nursing assistants in May 2023.</a:t>
          </a:r>
          <a:r>
            <a:rPr lang="en-US" sz="1100" b="0" i="0" u="none" strike="noStrike" baseline="30000">
              <a:solidFill>
                <a:schemeClr val="dk1"/>
              </a:solidFill>
              <a:effectLst/>
              <a:latin typeface="+mn-lt"/>
              <a:ea typeface="+mn-ea"/>
              <a:cs typeface="+mn-cs"/>
            </a:rPr>
            <a:t>148</a:t>
          </a:r>
          <a:r>
            <a:rPr lang="en-US" sz="1100" b="0" i="0" u="none" strike="noStrike">
              <a:solidFill>
                <a:schemeClr val="dk1"/>
              </a:solidFill>
              <a:effectLst/>
              <a:latin typeface="+mn-lt"/>
              <a:ea typeface="+mn-ea"/>
              <a:cs typeface="+mn-cs"/>
            </a:rPr>
            <a:t> IntelyCare cited an average of $19.84.</a:t>
          </a:r>
          <a:r>
            <a:rPr lang="en-US" sz="1100" b="0" i="0" u="none" strike="noStrike" baseline="30000">
              <a:solidFill>
                <a:schemeClr val="dk1"/>
              </a:solidFill>
              <a:effectLst/>
              <a:latin typeface="+mn-lt"/>
              <a:ea typeface="+mn-ea"/>
              <a:cs typeface="+mn-cs"/>
            </a:rPr>
            <a:t>149</a:t>
          </a:r>
          <a:r>
            <a:rPr lang="en-US" sz="1100" b="0" i="0" u="none" strike="noStrike">
              <a:solidFill>
                <a:schemeClr val="dk1"/>
              </a:solidFill>
              <a:effectLst/>
              <a:latin typeface="+mn-lt"/>
              <a:ea typeface="+mn-ea"/>
              <a:cs typeface="+mn-cs"/>
            </a:rPr>
            <a:t> $21.76/hr is above these averages but falls within the range observed across different states and settings </a:t>
          </a:r>
          <a:r>
            <a:rPr lang="en-US" sz="1100" b="0" i="0" u="none" strike="noStrike" baseline="30000">
              <a:solidFill>
                <a:schemeClr val="dk1"/>
              </a:solidFill>
              <a:effectLst/>
              <a:latin typeface="+mn-lt"/>
              <a:ea typeface="+mn-ea"/>
              <a:cs typeface="+mn-cs"/>
            </a:rPr>
            <a:t>148</a:t>
          </a:r>
          <a:r>
            <a:rPr lang="en-US" sz="1100" b="0" i="0" u="none" strike="noStrike">
              <a:solidFill>
                <a:schemeClr val="dk1"/>
              </a:solidFill>
              <a:effectLst/>
              <a:latin typeface="+mn-lt"/>
              <a:ea typeface="+mn-ea"/>
              <a:cs typeface="+mn-cs"/>
            </a:rPr>
            <a:t>, potentially reflecting a specific high-cost region, hospital setting, or experienced CNA wage.</a:t>
          </a:r>
        </a:p>
        <a:p>
          <a:pPr rtl="0" fontAlgn="base"/>
          <a:r>
            <a:rPr lang="en-US" sz="1100" b="1" i="0" u="none" strike="noStrike">
              <a:solidFill>
                <a:schemeClr val="dk1"/>
              </a:solidFill>
              <a:effectLst/>
              <a:latin typeface="+mn-lt"/>
              <a:ea typeface="+mn-ea"/>
              <a:cs typeface="+mn-cs"/>
            </a:rPr>
            <a:t>ED Tech (Wage: $21.76/hr)</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BLS data for Emergency Medical Technicians (EMTs), who often fill ED Tech roles, showed a mean hourly wage of $20.72 in May 2023.</a:t>
          </a:r>
          <a:r>
            <a:rPr lang="en-US" sz="1100" b="0" i="0" u="none" strike="noStrike" baseline="30000">
              <a:solidFill>
                <a:schemeClr val="dk1"/>
              </a:solidFill>
              <a:effectLst/>
              <a:latin typeface="+mn-lt"/>
              <a:ea typeface="+mn-ea"/>
              <a:cs typeface="+mn-cs"/>
            </a:rPr>
            <a:t>150</a:t>
          </a:r>
          <a:r>
            <a:rPr lang="en-US" sz="1100" b="0" i="0" u="none" strike="noStrike">
              <a:solidFill>
                <a:schemeClr val="dk1"/>
              </a:solidFill>
              <a:effectLst/>
              <a:latin typeface="+mn-lt"/>
              <a:ea typeface="+mn-ea"/>
              <a:cs typeface="+mn-cs"/>
            </a:rPr>
            <a:t> While older BLS data showed lower means </a:t>
          </a:r>
          <a:r>
            <a:rPr lang="en-US" sz="1100" b="0" i="0" u="none" strike="noStrike" baseline="30000">
              <a:solidFill>
                <a:schemeClr val="dk1"/>
              </a:solidFill>
              <a:effectLst/>
              <a:latin typeface="+mn-lt"/>
              <a:ea typeface="+mn-ea"/>
              <a:cs typeface="+mn-cs"/>
            </a:rPr>
            <a:t>151</a:t>
          </a:r>
          <a:r>
            <a:rPr lang="en-US" sz="1100" b="0" i="0" u="none" strike="noStrike">
              <a:solidFill>
                <a:schemeClr val="dk1"/>
              </a:solidFill>
              <a:effectLst/>
              <a:latin typeface="+mn-lt"/>
              <a:ea typeface="+mn-ea"/>
              <a:cs typeface="+mn-cs"/>
            </a:rPr>
            <a:t>, recent job postings show ranges extending higher (e.g., UCHealth $24.11-$36.17 </a:t>
          </a:r>
          <a:r>
            <a:rPr lang="en-US" sz="1100" b="0" i="0" u="none" strike="noStrike" baseline="30000">
              <a:solidFill>
                <a:schemeClr val="dk1"/>
              </a:solidFill>
              <a:effectLst/>
              <a:latin typeface="+mn-lt"/>
              <a:ea typeface="+mn-ea"/>
              <a:cs typeface="+mn-cs"/>
            </a:rPr>
            <a:t>154</a:t>
          </a:r>
          <a:r>
            <a:rPr lang="en-US" sz="1100" b="0" i="0" u="none" strike="noStrike">
              <a:solidFill>
                <a:schemeClr val="dk1"/>
              </a:solidFill>
              <a:effectLst/>
              <a:latin typeface="+mn-lt"/>
              <a:ea typeface="+mn-ea"/>
              <a:cs typeface="+mn-cs"/>
            </a:rPr>
            <a:t>). $21.76 is slightly above the BLS mean but well within reported ranges for the role.</a:t>
          </a:r>
        </a:p>
        <a:p>
          <a:pPr rtl="0" fontAlgn="base"/>
          <a:r>
            <a:rPr lang="en-US" sz="1100" b="1" i="0" u="none" strike="noStrike">
              <a:solidFill>
                <a:schemeClr val="dk1"/>
              </a:solidFill>
              <a:effectLst/>
              <a:latin typeface="+mn-lt"/>
              <a:ea typeface="+mn-ea"/>
              <a:cs typeface="+mn-cs"/>
            </a:rPr>
            <a:t>NPD Program Manager (Salary: $76.8/hr ≈ $159.7k/yr)</a:t>
          </a:r>
          <a:r>
            <a:rPr lang="en-US" sz="1100" b="0" i="0" u="none" strike="noStrike">
              <a:solidFill>
                <a:schemeClr val="dk1"/>
              </a:solidFill>
              <a:effectLst/>
              <a:latin typeface="+mn-lt"/>
              <a:ea typeface="+mn-ea"/>
              <a:cs typeface="+mn-cs"/>
            </a:rPr>
            <a:t>: This figure appears </a:t>
          </a:r>
          <a:r>
            <a:rPr lang="en-US" sz="1100" b="1" i="0" u="none" strike="noStrike">
              <a:solidFill>
                <a:schemeClr val="dk1"/>
              </a:solidFill>
              <a:effectLst/>
              <a:latin typeface="+mn-lt"/>
              <a:ea typeface="+mn-ea"/>
              <a:cs typeface="+mn-cs"/>
            </a:rPr>
            <a:t>high</a:t>
          </a:r>
          <a:r>
            <a:rPr lang="en-US" sz="1100" b="0" i="0" u="none" strike="noStrike">
              <a:solidFill>
                <a:schemeClr val="dk1"/>
              </a:solidFill>
              <a:effectLst/>
              <a:latin typeface="+mn-lt"/>
              <a:ea typeface="+mn-ea"/>
              <a:cs typeface="+mn-cs"/>
            </a:rPr>
            <a:t> relative to available benchmarks. ZipRecruiter data for Healthcare Program Managers in California shows an average of $106k ($51/hr) and a 90th percentile of $141k ($67/hr).</a:t>
          </a:r>
          <a:r>
            <a:rPr lang="en-US" sz="1100" b="0" i="0" u="none" strike="noStrike" baseline="30000">
              <a:solidFill>
                <a:schemeClr val="dk1"/>
              </a:solidFill>
              <a:effectLst/>
              <a:latin typeface="+mn-lt"/>
              <a:ea typeface="+mn-ea"/>
              <a:cs typeface="+mn-cs"/>
            </a:rPr>
            <a:t>155</a:t>
          </a:r>
          <a:r>
            <a:rPr lang="en-US" sz="1100" b="0" i="0" u="none" strike="noStrike">
              <a:solidFill>
                <a:schemeClr val="dk1"/>
              </a:solidFill>
              <a:effectLst/>
              <a:latin typeface="+mn-lt"/>
              <a:ea typeface="+mn-ea"/>
              <a:cs typeface="+mn-cs"/>
            </a:rPr>
            <a:t> A J&amp;J Senior Project Manager (NPD) role was posted with a range of $106.5k-$143k.</a:t>
          </a:r>
          <a:r>
            <a:rPr lang="en-US" sz="1100" b="0" i="0" u="none" strike="noStrike" baseline="30000">
              <a:solidFill>
                <a:schemeClr val="dk1"/>
              </a:solidFill>
              <a:effectLst/>
              <a:latin typeface="+mn-lt"/>
              <a:ea typeface="+mn-ea"/>
              <a:cs typeface="+mn-cs"/>
            </a:rPr>
            <a:t>156</a:t>
          </a:r>
          <a:r>
            <a:rPr lang="en-US" sz="1100" b="0" i="0" u="none" strike="noStrike">
              <a:solidFill>
                <a:schemeClr val="dk1"/>
              </a:solidFill>
              <a:effectLst/>
              <a:latin typeface="+mn-lt"/>
              <a:ea typeface="+mn-ea"/>
              <a:cs typeface="+mn-cs"/>
            </a:rPr>
            <a:t> $76.8/hr ($159.7k/yr) exceeds these typical ranges and may represent a very senior leadership position, total compensation including bonuses/benefits, or a specific high-paying organization/location.</a:t>
          </a:r>
        </a:p>
        <a:p>
          <a:pPr rtl="0" fontAlgn="base"/>
          <a:r>
            <a:rPr lang="en-US" sz="1100" b="1" i="0" u="none" strike="noStrike">
              <a:solidFill>
                <a:schemeClr val="dk1"/>
              </a:solidFill>
              <a:effectLst/>
              <a:latin typeface="+mn-lt"/>
              <a:ea typeface="+mn-ea"/>
              <a:cs typeface="+mn-cs"/>
            </a:rPr>
            <a:t>NPD Specialist System (Salary: $64/hr ≈ $133k/yr)</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plausible, representing the high end</a:t>
          </a:r>
          <a:r>
            <a:rPr lang="en-US" sz="1100" b="0" i="0" u="none" strike="noStrike">
              <a:solidFill>
                <a:schemeClr val="dk1"/>
              </a:solidFill>
              <a:effectLst/>
              <a:latin typeface="+mn-lt"/>
              <a:ea typeface="+mn-ea"/>
              <a:cs typeface="+mn-cs"/>
            </a:rPr>
            <a:t> of the typical salary range. Salary.com reports an average NPD Specialist salary of $118.6k ($57/hr) with a 75th percentile of $132.3k ($64/hr).</a:t>
          </a:r>
          <a:r>
            <a:rPr lang="en-US" sz="1100" b="0" i="0" u="none" strike="noStrike" baseline="30000">
              <a:solidFill>
                <a:schemeClr val="dk1"/>
              </a:solidFill>
              <a:effectLst/>
              <a:latin typeface="+mn-lt"/>
              <a:ea typeface="+mn-ea"/>
              <a:cs typeface="+mn-cs"/>
            </a:rPr>
            <a:t>157</a:t>
          </a:r>
          <a:r>
            <a:rPr lang="en-US" sz="1100" b="0" i="0" u="none" strike="noStrike">
              <a:solidFill>
                <a:schemeClr val="dk1"/>
              </a:solidFill>
              <a:effectLst/>
              <a:latin typeface="+mn-lt"/>
              <a:ea typeface="+mn-ea"/>
              <a:cs typeface="+mn-cs"/>
            </a:rPr>
            <a:t> ZipRecruiter data for Texas shows lower figures on average but a 90th percentile of $123k ($59/hr).</a:t>
          </a:r>
          <a:r>
            <a:rPr lang="en-US" sz="1100" b="0" i="0" u="none" strike="noStrike" baseline="30000">
              <a:solidFill>
                <a:schemeClr val="dk1"/>
              </a:solidFill>
              <a:effectLst/>
              <a:latin typeface="+mn-lt"/>
              <a:ea typeface="+mn-ea"/>
              <a:cs typeface="+mn-cs"/>
            </a:rPr>
            <a:t>158</a:t>
          </a:r>
          <a:r>
            <a:rPr lang="en-US" sz="1100" b="0" i="0" u="none" strike="noStrike">
              <a:solidFill>
                <a:schemeClr val="dk1"/>
              </a:solidFill>
              <a:effectLst/>
              <a:latin typeface="+mn-lt"/>
              <a:ea typeface="+mn-ea"/>
              <a:cs typeface="+mn-cs"/>
            </a:rPr>
            <a:t> $64/hr aligns with the 75th percentile nationally, indicating an achievable salary for experienced specialists in certain markets.</a:t>
          </a:r>
        </a:p>
        <a:p>
          <a:pPr rtl="0" fontAlgn="base"/>
          <a:r>
            <a:rPr lang="en-US" sz="1100" b="1" i="0" u="none" strike="noStrike">
              <a:solidFill>
                <a:schemeClr val="dk1"/>
              </a:solidFill>
              <a:effectLst/>
              <a:latin typeface="+mn-lt"/>
              <a:ea typeface="+mn-ea"/>
              <a:cs typeface="+mn-cs"/>
            </a:rPr>
            <a:t>Nurse Specialist (Salary: $72.96/hr ≈ $151.7k/yr)</a:t>
          </a:r>
          <a:r>
            <a:rPr lang="en-US" sz="1100" b="0" i="0" u="none" strike="noStrike">
              <a:solidFill>
                <a:schemeClr val="dk1"/>
              </a:solidFill>
              <a:effectLst/>
              <a:latin typeface="+mn-lt"/>
              <a:ea typeface="+mn-ea"/>
              <a:cs typeface="+mn-cs"/>
            </a:rPr>
            <a:t>: This figure appears </a:t>
          </a:r>
          <a:r>
            <a:rPr lang="en-US" sz="1100" b="1" i="0" u="none" strike="noStrike">
              <a:solidFill>
                <a:schemeClr val="dk1"/>
              </a:solidFill>
              <a:effectLst/>
              <a:latin typeface="+mn-lt"/>
              <a:ea typeface="+mn-ea"/>
              <a:cs typeface="+mn-cs"/>
            </a:rPr>
            <a:t>high</a:t>
          </a:r>
          <a:r>
            <a:rPr lang="en-US" sz="1100" b="0" i="0" u="none" strike="noStrike">
              <a:solidFill>
                <a:schemeClr val="dk1"/>
              </a:solidFill>
              <a:effectLst/>
              <a:latin typeface="+mn-lt"/>
              <a:ea typeface="+mn-ea"/>
              <a:cs typeface="+mn-cs"/>
            </a:rPr>
            <a:t> relative to typical Clinical Nurse Specialist (CNS) salaries. ZipRecruiter reports a national average CNS salary of $94.5k ($45/hr) and a 90th percentile of $137k ($65/hr).</a:t>
          </a:r>
          <a:r>
            <a:rPr lang="en-US" sz="1100" b="0" i="0" u="none" strike="noStrike" baseline="30000">
              <a:solidFill>
                <a:schemeClr val="dk1"/>
              </a:solidFill>
              <a:effectLst/>
              <a:latin typeface="+mn-lt"/>
              <a:ea typeface="+mn-ea"/>
              <a:cs typeface="+mn-cs"/>
            </a:rPr>
            <a:t>159</a:t>
          </a:r>
          <a:r>
            <a:rPr lang="en-US" sz="1100" b="0" i="0" u="none" strike="noStrike">
              <a:solidFill>
                <a:schemeClr val="dk1"/>
              </a:solidFill>
              <a:effectLst/>
              <a:latin typeface="+mn-lt"/>
              <a:ea typeface="+mn-ea"/>
              <a:cs typeface="+mn-cs"/>
            </a:rPr>
            <a:t> $72.96/hr ($151.7k/yr) exceeds even the 90th percentile and likely reflects a highly specialized role, extensive experience, a high-cost location, or total compensation rather than base salary.</a:t>
          </a:r>
        </a:p>
        <a:p>
          <a:pPr rtl="0" fontAlgn="base"/>
          <a:r>
            <a:rPr lang="en-US" sz="1100" b="1" i="0" u="none" strike="noStrike">
              <a:solidFill>
                <a:schemeClr val="dk1"/>
              </a:solidFill>
              <a:effectLst/>
              <a:latin typeface="+mn-lt"/>
              <a:ea typeface="+mn-ea"/>
              <a:cs typeface="+mn-cs"/>
            </a:rPr>
            <a:t>RN Staff Nurse (Inpatient) (Wage: $74.38/hr ≈ $154.7k/yr)</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significantly higher than national averages</a:t>
          </a:r>
          <a:r>
            <a:rPr lang="en-US" sz="1100" b="0" i="0" u="none" strike="noStrike">
              <a:solidFill>
                <a:schemeClr val="dk1"/>
              </a:solidFill>
              <a:effectLst/>
              <a:latin typeface="+mn-lt"/>
              <a:ea typeface="+mn-ea"/>
              <a:cs typeface="+mn-cs"/>
            </a:rPr>
            <a:t> for staff RNs. The BLS reported a mean hourly wage of $45.42 for all RNs in May 2023 </a:t>
          </a:r>
          <a:r>
            <a:rPr lang="en-US" sz="1100" b="0" i="0" u="none" strike="noStrike" baseline="30000">
              <a:solidFill>
                <a:schemeClr val="dk1"/>
              </a:solidFill>
              <a:effectLst/>
              <a:latin typeface="+mn-lt"/>
              <a:ea typeface="+mn-ea"/>
              <a:cs typeface="+mn-cs"/>
            </a:rPr>
            <a:t>160</a:t>
          </a:r>
          <a:r>
            <a:rPr lang="en-US" sz="1100" b="0" i="0" u="none" strike="noStrike">
              <a:solidFill>
                <a:schemeClr val="dk1"/>
              </a:solidFill>
              <a:effectLst/>
              <a:latin typeface="+mn-lt"/>
              <a:ea typeface="+mn-ea"/>
              <a:cs typeface="+mn-cs"/>
            </a:rPr>
            <a:t>, and $46.55 specifically for general medical/surgical hospital RNs.</a:t>
          </a:r>
          <a:r>
            <a:rPr lang="en-US" sz="1100" b="0" i="0" u="none" strike="noStrike" baseline="30000">
              <a:solidFill>
                <a:schemeClr val="dk1"/>
              </a:solidFill>
              <a:effectLst/>
              <a:latin typeface="+mn-lt"/>
              <a:ea typeface="+mn-ea"/>
              <a:cs typeface="+mn-cs"/>
            </a:rPr>
            <a:t>160</a:t>
          </a:r>
          <a:r>
            <a:rPr lang="en-US" sz="1100" b="0" i="0" u="none" strike="noStrike">
              <a:solidFill>
                <a:schemeClr val="dk1"/>
              </a:solidFill>
              <a:effectLst/>
              <a:latin typeface="+mn-lt"/>
              <a:ea typeface="+mn-ea"/>
              <a:cs typeface="+mn-cs"/>
            </a:rPr>
            <a:t> IntelyCare cited a national average of $47.32.</a:t>
          </a:r>
          <a:r>
            <a:rPr lang="en-US" sz="1100" b="0" i="0" u="none" strike="noStrike" baseline="30000">
              <a:solidFill>
                <a:schemeClr val="dk1"/>
              </a:solidFill>
              <a:effectLst/>
              <a:latin typeface="+mn-lt"/>
              <a:ea typeface="+mn-ea"/>
              <a:cs typeface="+mn-cs"/>
            </a:rPr>
            <a:t>161</a:t>
          </a:r>
          <a:r>
            <a:rPr lang="en-US" sz="1100" b="0" i="0" u="none" strike="noStrike">
              <a:solidFill>
                <a:schemeClr val="dk1"/>
              </a:solidFill>
              <a:effectLst/>
              <a:latin typeface="+mn-lt"/>
              <a:ea typeface="+mn-ea"/>
              <a:cs typeface="+mn-cs"/>
            </a:rPr>
            <a:t> $74.38/hr is substantially higher and likely reflects specific circumstances such as high-cost-of-living areas (e.g., parts of California where averages exceed $66/hr </a:t>
          </a:r>
          <a:r>
            <a:rPr lang="en-US" sz="1100" b="0" i="0" u="none" strike="noStrike" baseline="30000">
              <a:solidFill>
                <a:schemeClr val="dk1"/>
              </a:solidFill>
              <a:effectLst/>
              <a:latin typeface="+mn-lt"/>
              <a:ea typeface="+mn-ea"/>
              <a:cs typeface="+mn-cs"/>
            </a:rPr>
            <a:t>160</a:t>
          </a:r>
          <a:r>
            <a:rPr lang="en-US" sz="1100" b="0" i="0" u="none" strike="noStrike">
              <a:solidFill>
                <a:schemeClr val="dk1"/>
              </a:solidFill>
              <a:effectLst/>
              <a:latin typeface="+mn-lt"/>
              <a:ea typeface="+mn-ea"/>
              <a:cs typeface="+mn-cs"/>
            </a:rPr>
            <a:t>), specialty certification pay, significant overtime, shift differentials, or potentially temporary crisis/travel rates rather than a standard base wage.</a:t>
          </a:r>
        </a:p>
        <a:p>
          <a:pPr rtl="0" fontAlgn="base"/>
          <a:r>
            <a:rPr lang="en-US" sz="1100" b="1" i="0" u="none" strike="noStrike">
              <a:solidFill>
                <a:schemeClr val="dk1"/>
              </a:solidFill>
              <a:effectLst/>
              <a:latin typeface="+mn-lt"/>
              <a:ea typeface="+mn-ea"/>
              <a:cs typeface="+mn-cs"/>
            </a:rPr>
            <a:t>Social Worker (Wage: $57.6/hr ≈ $119.8k/yr)</a:t>
          </a:r>
          <a:r>
            <a:rPr lang="en-US" sz="1100" b="0" i="0" u="none" strike="noStrike">
              <a:solidFill>
                <a:schemeClr val="dk1"/>
              </a:solidFill>
              <a:effectLst/>
              <a:latin typeface="+mn-lt"/>
              <a:ea typeface="+mn-ea"/>
              <a:cs typeface="+mn-cs"/>
            </a:rPr>
            <a:t>: This figure appears </a:t>
          </a:r>
          <a:r>
            <a:rPr lang="en-US" sz="1100" b="1" i="0" u="none" strike="noStrike">
              <a:solidFill>
                <a:schemeClr val="dk1"/>
              </a:solidFill>
              <a:effectLst/>
              <a:latin typeface="+mn-lt"/>
              <a:ea typeface="+mn-ea"/>
              <a:cs typeface="+mn-cs"/>
            </a:rPr>
            <a:t>high</a:t>
          </a:r>
          <a:r>
            <a:rPr lang="en-US" sz="1100" b="0" i="0" u="none" strike="noStrike">
              <a:solidFill>
                <a:schemeClr val="dk1"/>
              </a:solidFill>
              <a:effectLst/>
              <a:latin typeface="+mn-lt"/>
              <a:ea typeface="+mn-ea"/>
              <a:cs typeface="+mn-cs"/>
            </a:rPr>
            <a:t> for typical social worker roles, even in healthcare. BLS reports a median annual salary for all social workers around $58k ($28/hr).</a:t>
          </a:r>
          <a:r>
            <a:rPr lang="en-US" sz="1100" b="0" i="0" u="none" strike="noStrike" baseline="30000">
              <a:solidFill>
                <a:schemeClr val="dk1"/>
              </a:solidFill>
              <a:effectLst/>
              <a:latin typeface="+mn-lt"/>
              <a:ea typeface="+mn-ea"/>
              <a:cs typeface="+mn-cs"/>
            </a:rPr>
            <a:t>162</a:t>
          </a:r>
          <a:r>
            <a:rPr lang="en-US" sz="1100" b="0" i="0" u="none" strike="noStrike">
              <a:solidFill>
                <a:schemeClr val="dk1"/>
              </a:solidFill>
              <a:effectLst/>
              <a:latin typeface="+mn-lt"/>
              <a:ea typeface="+mn-ea"/>
              <a:cs typeface="+mn-cs"/>
            </a:rPr>
            <a:t> Average salaries for healthcare social workers are cited around $73k ($35/hr) </a:t>
          </a:r>
          <a:r>
            <a:rPr lang="en-US" sz="1100" b="0" i="0" u="none" strike="noStrike" baseline="30000">
              <a:solidFill>
                <a:schemeClr val="dk1"/>
              </a:solidFill>
              <a:effectLst/>
              <a:latin typeface="+mn-lt"/>
              <a:ea typeface="+mn-ea"/>
              <a:cs typeface="+mn-cs"/>
            </a:rPr>
            <a:t>163</a:t>
          </a:r>
          <a:r>
            <a:rPr lang="en-US" sz="1100" b="0" i="0" u="none" strike="noStrike">
              <a:solidFill>
                <a:schemeClr val="dk1"/>
              </a:solidFill>
              <a:effectLst/>
              <a:latin typeface="+mn-lt"/>
              <a:ea typeface="+mn-ea"/>
              <a:cs typeface="+mn-cs"/>
            </a:rPr>
            <a:t>, and even Licensed Clinical Social Workers (LCSWs) average around $89k ($43/hr).</a:t>
          </a:r>
          <a:r>
            <a:rPr lang="en-US" sz="1100" b="0" i="0" u="none" strike="noStrike" baseline="30000">
              <a:solidFill>
                <a:schemeClr val="dk1"/>
              </a:solidFill>
              <a:effectLst/>
              <a:latin typeface="+mn-lt"/>
              <a:ea typeface="+mn-ea"/>
              <a:cs typeface="+mn-cs"/>
            </a:rPr>
            <a:t>163</a:t>
          </a:r>
          <a:r>
            <a:rPr lang="en-US" sz="1100" b="0" i="0" u="none" strike="noStrike">
              <a:solidFill>
                <a:schemeClr val="dk1"/>
              </a:solidFill>
              <a:effectLst/>
              <a:latin typeface="+mn-lt"/>
              <a:ea typeface="+mn-ea"/>
              <a:cs typeface="+mn-cs"/>
            </a:rPr>
            <a:t> $57.6/hr ($119.8k/yr) exceeds the typical 90th percentile for social workers and may represent management/administrative roles, private practice earnings, or specific high-paying niches.</a:t>
          </a:r>
        </a:p>
        <a:p>
          <a:pPr rtl="0" fontAlgn="base"/>
          <a:r>
            <a:rPr lang="en-US" sz="1100" b="1" i="0" u="none" strike="noStrike">
              <a:solidFill>
                <a:schemeClr val="dk1"/>
              </a:solidFill>
              <a:effectLst/>
              <a:latin typeface="+mn-lt"/>
              <a:ea typeface="+mn-ea"/>
              <a:cs typeface="+mn-cs"/>
            </a:rPr>
            <a:t>Travel Nurse (with fees) (Wage: $127.12/hr)</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plausible as a total hourly cost to the hospital</a:t>
          </a:r>
          <a:r>
            <a:rPr lang="en-US" sz="1100" b="0" i="0" u="none" strike="noStrike">
              <a:solidFill>
                <a:schemeClr val="dk1"/>
              </a:solidFill>
              <a:effectLst/>
              <a:latin typeface="+mn-lt"/>
              <a:ea typeface="+mn-ea"/>
              <a:cs typeface="+mn-cs"/>
            </a:rPr>
            <a:t>, particularly during periods of high demand or for specialized roles, but </a:t>
          </a:r>
          <a:r>
            <a:rPr lang="en-US" sz="1100" b="1" i="0" u="none" strike="noStrike">
              <a:solidFill>
                <a:schemeClr val="dk1"/>
              </a:solidFill>
              <a:effectLst/>
              <a:latin typeface="+mn-lt"/>
              <a:ea typeface="+mn-ea"/>
              <a:cs typeface="+mn-cs"/>
            </a:rPr>
            <a:t>does not represent the nurse's base wage</a:t>
          </a:r>
          <a:r>
            <a:rPr lang="en-US" sz="1100" b="0" i="0" u="none" strike="noStrike">
              <a:solidFill>
                <a:schemeClr val="dk1"/>
              </a:solidFill>
              <a:effectLst/>
              <a:latin typeface="+mn-lt"/>
              <a:ea typeface="+mn-ea"/>
              <a:cs typeface="+mn-cs"/>
            </a:rPr>
            <a:t>. Agency bill rates to hospitals typically range from $65-$90+ per hour for standard contracts </a:t>
          </a:r>
          <a:r>
            <a:rPr lang="en-US" sz="1100" b="0" i="0" u="none" strike="noStrike" baseline="30000">
              <a:solidFill>
                <a:schemeClr val="dk1"/>
              </a:solidFill>
              <a:effectLst/>
              <a:latin typeface="+mn-lt"/>
              <a:ea typeface="+mn-ea"/>
              <a:cs typeface="+mn-cs"/>
            </a:rPr>
            <a:t>164</a:t>
          </a:r>
          <a:r>
            <a:rPr lang="en-US" sz="1100" b="0" i="0" u="none" strike="noStrike">
              <a:solidFill>
                <a:schemeClr val="dk1"/>
              </a:solidFill>
              <a:effectLst/>
              <a:latin typeface="+mn-lt"/>
              <a:ea typeface="+mn-ea"/>
              <a:cs typeface="+mn-cs"/>
            </a:rPr>
            <a:t>, with agency fees adding 20-30%.</a:t>
          </a:r>
          <a:r>
            <a:rPr lang="en-US" sz="1100" b="0" i="0" u="none" strike="noStrike" baseline="30000">
              <a:solidFill>
                <a:schemeClr val="dk1"/>
              </a:solidFill>
              <a:effectLst/>
              <a:latin typeface="+mn-lt"/>
              <a:ea typeface="+mn-ea"/>
              <a:cs typeface="+mn-cs"/>
            </a:rPr>
            <a:t>167</a:t>
          </a:r>
          <a:r>
            <a:rPr lang="en-US" sz="1100" b="0" i="0" u="none" strike="noStrike">
              <a:solidFill>
                <a:schemeClr val="dk1"/>
              </a:solidFill>
              <a:effectLst/>
              <a:latin typeface="+mn-lt"/>
              <a:ea typeface="+mn-ea"/>
              <a:cs typeface="+mn-cs"/>
            </a:rPr>
            <a:t> The total cost includes the nurse's taxable wage, tax-free stipends (housing, meals), benefits (insurance), travel reimbursement, compliance costs, VMS fees, and agency overhead/profit.</a:t>
          </a:r>
          <a:r>
            <a:rPr lang="en-US" sz="1100" b="0" i="0" u="none" strike="noStrike" baseline="30000">
              <a:solidFill>
                <a:schemeClr val="dk1"/>
              </a:solidFill>
              <a:effectLst/>
              <a:latin typeface="+mn-lt"/>
              <a:ea typeface="+mn-ea"/>
              <a:cs typeface="+mn-cs"/>
            </a:rPr>
            <a:t>166</a:t>
          </a:r>
          <a:r>
            <a:rPr lang="en-US" sz="1100" b="0" i="0" u="none" strike="noStrike">
              <a:solidFill>
                <a:schemeClr val="dk1"/>
              </a:solidFill>
              <a:effectLst/>
              <a:latin typeface="+mn-lt"/>
              <a:ea typeface="+mn-ea"/>
              <a:cs typeface="+mn-cs"/>
            </a:rPr>
            <a:t> An "all-in cost" was reported as $83/hr in one survey </a:t>
          </a:r>
          <a:r>
            <a:rPr lang="en-US" sz="1100" b="0" i="0" u="none" strike="noStrike" baseline="30000">
              <a:solidFill>
                <a:schemeClr val="dk1"/>
              </a:solidFill>
              <a:effectLst/>
              <a:latin typeface="+mn-lt"/>
              <a:ea typeface="+mn-ea"/>
              <a:cs typeface="+mn-cs"/>
            </a:rPr>
            <a:t>165</a:t>
          </a:r>
          <a:r>
            <a:rPr lang="en-US" sz="1100" b="0" i="0" u="none" strike="noStrike">
              <a:solidFill>
                <a:schemeClr val="dk1"/>
              </a:solidFill>
              <a:effectLst/>
              <a:latin typeface="+mn-lt"/>
              <a:ea typeface="+mn-ea"/>
              <a:cs typeface="+mn-cs"/>
            </a:rPr>
            <a:t>, but crisis rates can push total costs much higher. $127.12/hr likely reflects this comprehensive cost borne by the facility.</a:t>
          </a:r>
        </a:p>
        <a:p>
          <a:pPr rtl="0" fontAlgn="base"/>
          <a:r>
            <a:rPr lang="en-US" sz="1100" b="1" i="0" u="none" strike="noStrike">
              <a:solidFill>
                <a:schemeClr val="dk1"/>
              </a:solidFill>
              <a:effectLst/>
              <a:latin typeface="+mn-lt"/>
              <a:ea typeface="+mn-ea"/>
              <a:cs typeface="+mn-cs"/>
            </a:rPr>
            <a:t>Unit-Based NPD (Salary: $60.16/hr ≈ $125k/yr)</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for an experienced unit-based Nursing Professional Development Specialist. It falls between the national average ($118.6k or $57/hr) and the 75th percentile ($132.3k or $64/hr) reported by Salary.com.</a:t>
          </a:r>
          <a:r>
            <a:rPr lang="en-US" sz="1100" b="0" i="0" u="none" strike="noStrike" baseline="30000">
              <a:solidFill>
                <a:schemeClr val="dk1"/>
              </a:solidFill>
              <a:effectLst/>
              <a:latin typeface="+mn-lt"/>
              <a:ea typeface="+mn-ea"/>
              <a:cs typeface="+mn-cs"/>
            </a:rPr>
            <a:t>157</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RN 1% Turnover Change ($380,599)</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the estimated financial impact (cost or savings) on an average hospital for each 1% change in the RN turnover rate, according to the 2023 NSI National Health Care Retention &amp; RN Staffing Report.</a:t>
          </a:r>
          <a:r>
            <a:rPr lang="en-US" sz="1100" b="0" i="0" u="none" strike="noStrike" baseline="30000">
              <a:solidFill>
                <a:schemeClr val="dk1"/>
              </a:solidFill>
              <a:effectLst/>
              <a:latin typeface="+mn-lt"/>
              <a:ea typeface="+mn-ea"/>
              <a:cs typeface="+mn-cs"/>
            </a:rPr>
            <a:t>168</a:t>
          </a:r>
          <a:r>
            <a:rPr lang="en-US" sz="1100" b="0" i="0" u="none" strike="noStrike">
              <a:solidFill>
                <a:schemeClr val="dk1"/>
              </a:solidFill>
              <a:effectLst/>
              <a:latin typeface="+mn-lt"/>
              <a:ea typeface="+mn-ea"/>
              <a:cs typeface="+mn-cs"/>
            </a:rPr>
            <a:t> Note that this figure can fluctuate slightly year-to-year in NSI reports (e.g., $262k in 2022 report </a:t>
          </a:r>
          <a:r>
            <a:rPr lang="en-US" sz="1100" b="0" i="0" u="none" strike="noStrike" baseline="30000">
              <a:solidFill>
                <a:schemeClr val="dk1"/>
              </a:solidFill>
              <a:effectLst/>
              <a:latin typeface="+mn-lt"/>
              <a:ea typeface="+mn-ea"/>
              <a:cs typeface="+mn-cs"/>
            </a:rPr>
            <a:t>169</a:t>
          </a:r>
          <a:r>
            <a:rPr lang="en-US" sz="1100" b="0" i="0" u="none" strike="noStrike">
              <a:solidFill>
                <a:schemeClr val="dk1"/>
              </a:solidFill>
              <a:effectLst/>
              <a:latin typeface="+mn-lt"/>
              <a:ea typeface="+mn-ea"/>
              <a:cs typeface="+mn-cs"/>
            </a:rPr>
            <a:t>, $289k in 2025 report </a:t>
          </a:r>
          <a:r>
            <a:rPr lang="en-US" sz="1100" b="0" i="0" u="none" strike="noStrike" baseline="30000">
              <a:solidFill>
                <a:schemeClr val="dk1"/>
              </a:solidFill>
              <a:effectLst/>
              <a:latin typeface="+mn-lt"/>
              <a:ea typeface="+mn-ea"/>
              <a:cs typeface="+mn-cs"/>
            </a:rPr>
            <a:t>170</a:t>
          </a:r>
          <a:r>
            <a:rPr lang="en-US" sz="1100" b="0" i="0" u="none" strike="noStrike">
              <a:solidFill>
                <a:schemeClr val="dk1"/>
              </a:solidFill>
              <a:effectLst/>
              <a:latin typeface="+mn-lt"/>
              <a:ea typeface="+mn-ea"/>
              <a:cs typeface="+mn-cs"/>
            </a:rPr>
            <a:t>).</a:t>
          </a:r>
        </a:p>
        <a:p>
          <a:pPr rtl="0" fontAlgn="base"/>
          <a:r>
            <a:rPr lang="en-US" sz="1100" b="1" i="0" u="none" strike="noStrike">
              <a:solidFill>
                <a:schemeClr val="dk1"/>
              </a:solidFill>
              <a:effectLst/>
              <a:latin typeface="+mn-lt"/>
              <a:ea typeface="+mn-ea"/>
              <a:cs typeface="+mn-cs"/>
            </a:rPr>
            <a:t>RN Replacement (Turnover) - Experienced ($56,300)</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the average cost of turnover for a bedside RN reported in the 2024 NSI National Health Care Retention &amp; RN Staffing Report.</a:t>
          </a:r>
          <a:r>
            <a:rPr lang="en-US" sz="1100" b="0" i="0" u="none" strike="noStrike" baseline="30000">
              <a:solidFill>
                <a:schemeClr val="dk1"/>
              </a:solidFill>
              <a:effectLst/>
              <a:latin typeface="+mn-lt"/>
              <a:ea typeface="+mn-ea"/>
              <a:cs typeface="+mn-cs"/>
            </a:rPr>
            <a:t>171</a:t>
          </a:r>
          <a:r>
            <a:rPr lang="en-US" sz="1100" b="0" i="0" u="none" strike="noStrike">
              <a:solidFill>
                <a:schemeClr val="dk1"/>
              </a:solidFill>
              <a:effectLst/>
              <a:latin typeface="+mn-lt"/>
              <a:ea typeface="+mn-ea"/>
              <a:cs typeface="+mn-cs"/>
            </a:rPr>
            <a:t> This represents an increase from previous years' reports.</a:t>
          </a:r>
          <a:r>
            <a:rPr lang="en-US" sz="1100" b="0" i="0" u="none" strike="noStrike" baseline="30000">
              <a:solidFill>
                <a:schemeClr val="dk1"/>
              </a:solidFill>
              <a:effectLst/>
              <a:latin typeface="+mn-lt"/>
              <a:ea typeface="+mn-ea"/>
              <a:cs typeface="+mn-cs"/>
            </a:rPr>
            <a:t>168</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RN Replacement (Turnover) - New ($45,100)</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as representing the lower end of the average cost range ($45.1k-$67.5k) for RN turnover cited from the 2024 NSI report.</a:t>
          </a:r>
          <a:r>
            <a:rPr lang="en-US" sz="1100" b="0" i="0" u="none" strike="noStrike" baseline="30000">
              <a:solidFill>
                <a:schemeClr val="dk1"/>
              </a:solidFill>
              <a:effectLst/>
              <a:latin typeface="+mn-lt"/>
              <a:ea typeface="+mn-ea"/>
              <a:cs typeface="+mn-cs"/>
            </a:rPr>
            <a:t>172</a:t>
          </a:r>
          <a:r>
            <a:rPr lang="en-US" sz="1100" b="0" i="0" u="none" strike="noStrike">
              <a:solidFill>
                <a:schemeClr val="dk1"/>
              </a:solidFill>
              <a:effectLst/>
              <a:latin typeface="+mn-lt"/>
              <a:ea typeface="+mn-ea"/>
              <a:cs typeface="+mn-cs"/>
            </a:rPr>
            <a:t> It plausibly reflects potentially lower recruitment and training investment costs associated with replacing less experienced nurses, although some older data suggested NGRN turnover could be more expensive.</a:t>
          </a:r>
          <a:r>
            <a:rPr lang="en-US" sz="1100" b="0" i="0" u="none" strike="noStrike" baseline="30000">
              <a:solidFill>
                <a:schemeClr val="dk1"/>
              </a:solidFill>
              <a:effectLst/>
              <a:latin typeface="+mn-lt"/>
              <a:ea typeface="+mn-ea"/>
              <a:cs typeface="+mn-cs"/>
            </a:rPr>
            <a:t>173</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Orientation - New Residency Program ($97,777)</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without clarification of what it represents (e.g., cost per resident, total program cost for a specific cohort size and duration). Available data points to lower per-resident costs for residency program components (e.g., ~$2k additional training cost </a:t>
          </a:r>
          <a:r>
            <a:rPr lang="en-US" sz="1100" b="0" i="0" u="none" strike="noStrike" baseline="30000">
              <a:solidFill>
                <a:schemeClr val="dk1"/>
              </a:solidFill>
              <a:effectLst/>
              <a:latin typeface="+mn-lt"/>
              <a:ea typeface="+mn-ea"/>
              <a:cs typeface="+mn-cs"/>
            </a:rPr>
            <a:t>171</a:t>
          </a:r>
          <a:r>
            <a:rPr lang="en-US" sz="1100" b="0" i="0" u="none" strike="noStrike">
              <a:solidFill>
                <a:schemeClr val="dk1"/>
              </a:solidFill>
              <a:effectLst/>
              <a:latin typeface="+mn-lt"/>
              <a:ea typeface="+mn-ea"/>
              <a:cs typeface="+mn-cs"/>
            </a:rPr>
            <a:t>, ~$13.4k additional salary for extended orientation </a:t>
          </a:r>
          <a:r>
            <a:rPr lang="en-US" sz="1100" b="0" i="0" u="none" strike="noStrike" baseline="30000">
              <a:solidFill>
                <a:schemeClr val="dk1"/>
              </a:solidFill>
              <a:effectLst/>
              <a:latin typeface="+mn-lt"/>
              <a:ea typeface="+mn-ea"/>
              <a:cs typeface="+mn-cs"/>
            </a:rPr>
            <a:t>173</a:t>
          </a:r>
          <a:r>
            <a:rPr lang="en-US" sz="1100" b="0" i="0" u="none" strike="noStrike">
              <a:solidFill>
                <a:schemeClr val="dk1"/>
              </a:solidFill>
              <a:effectLst/>
              <a:latin typeface="+mn-lt"/>
              <a:ea typeface="+mn-ea"/>
              <a:cs typeface="+mn-cs"/>
            </a:rPr>
            <a:t>). ANCC Magnet fees are for accreditation, not program operation.</a:t>
          </a:r>
          <a:r>
            <a:rPr lang="en-US" sz="1100" b="0" i="0" u="none" strike="noStrike" baseline="30000">
              <a:solidFill>
                <a:schemeClr val="dk1"/>
              </a:solidFill>
              <a:effectLst/>
              <a:latin typeface="+mn-lt"/>
              <a:ea typeface="+mn-ea"/>
              <a:cs typeface="+mn-cs"/>
            </a:rPr>
            <a:t>174</a:t>
          </a:r>
          <a:r>
            <a:rPr lang="en-US" sz="1100" b="0" i="0" u="none" strike="noStrike">
              <a:solidFill>
                <a:schemeClr val="dk1"/>
              </a:solidFill>
              <a:effectLst/>
              <a:latin typeface="+mn-lt"/>
              <a:ea typeface="+mn-ea"/>
              <a:cs typeface="+mn-cs"/>
            </a:rPr>
            <a:t> $97,777 requires specific context for validation.</a:t>
          </a:r>
        </a:p>
        <a:p>
          <a:pPr rtl="0"/>
          <a:r>
            <a:rPr lang="en-US" sz="1100" b="1" i="0" u="none" strike="noStrike">
              <a:solidFill>
                <a:schemeClr val="dk1"/>
              </a:solidFill>
              <a:effectLst/>
              <a:latin typeface="+mn-lt"/>
              <a:ea typeface="+mn-ea"/>
              <a:cs typeface="+mn-cs"/>
            </a:rPr>
            <a:t>Analysis of Miscellaneous Items</a:t>
          </a:r>
          <a:endParaRPr lang="en-US" b="1">
            <a:effectLst/>
          </a:endParaRPr>
        </a:p>
        <a:p>
          <a:pPr rtl="0"/>
          <a:r>
            <a:rPr lang="en-US" sz="1100" b="0" i="0" u="none" strike="noStrike">
              <a:solidFill>
                <a:schemeClr val="dk1"/>
              </a:solidFill>
              <a:effectLst/>
              <a:latin typeface="+mn-lt"/>
              <a:ea typeface="+mn-ea"/>
              <a:cs typeface="+mn-cs"/>
            </a:rPr>
            <a:t>This section addresses remaining items from the list, including specific programs, products, and concepts.</a:t>
          </a:r>
          <a:endParaRPr lang="en-US" b="0">
            <a:effectLst/>
          </a:endParaRPr>
        </a:p>
        <a:p>
          <a:pPr rtl="0" fontAlgn="base"/>
          <a:r>
            <a:rPr lang="en-US" sz="1100" b="1" i="0" u="none" strike="noStrike">
              <a:solidFill>
                <a:schemeClr val="dk1"/>
              </a:solidFill>
              <a:effectLst/>
              <a:latin typeface="+mn-lt"/>
              <a:ea typeface="+mn-ea"/>
              <a:cs typeface="+mn-cs"/>
            </a:rPr>
            <a:t>Breast milk 1 oz</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$3.97</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an average cost per ounce for pasteurized donor human milk from a non-profit milk bank. Reported price ranges are typically $3-$5.50 per ounce.</a:t>
          </a:r>
          <a:r>
            <a:rPr lang="en-US" sz="1100" b="0" i="0" u="none" strike="noStrike" baseline="30000">
              <a:solidFill>
                <a:schemeClr val="dk1"/>
              </a:solidFill>
              <a:effectLst/>
              <a:latin typeface="+mn-lt"/>
              <a:ea typeface="+mn-ea"/>
              <a:cs typeface="+mn-cs"/>
            </a:rPr>
            <a:t>175</a:t>
          </a:r>
          <a:r>
            <a:rPr lang="en-US" sz="1100" b="0" i="0" u="none" strike="noStrike">
              <a:solidFill>
                <a:schemeClr val="dk1"/>
              </a:solidFill>
              <a:effectLst/>
              <a:latin typeface="+mn-lt"/>
              <a:ea typeface="+mn-ea"/>
              <a:cs typeface="+mn-cs"/>
            </a:rPr>
            <a:t> $3.97 falls within the lower end of this spectrum. Costs cover donor screening, milk processing, testing, storage, and distribution.</a:t>
          </a:r>
          <a:r>
            <a:rPr lang="en-US" sz="1100" b="0" i="0" u="none" strike="noStrike" baseline="30000">
              <a:solidFill>
                <a:schemeClr val="dk1"/>
              </a:solidFill>
              <a:effectLst/>
              <a:latin typeface="+mn-lt"/>
              <a:ea typeface="+mn-ea"/>
              <a:cs typeface="+mn-cs"/>
            </a:rPr>
            <a:t>176</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Falls</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$14,000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verified</a:t>
          </a:r>
          <a:r>
            <a:rPr lang="en-US" sz="1100" b="0" i="0" u="none" strike="noStrike">
              <a:solidFill>
                <a:schemeClr val="dk1"/>
              </a:solidFill>
              <a:effectLst/>
              <a:latin typeface="+mn-lt"/>
              <a:ea typeface="+mn-ea"/>
              <a:cs typeface="+mn-cs"/>
            </a:rPr>
            <a:t> but specifically represents the </a:t>
          </a:r>
          <a:r>
            <a:rPr lang="en-US" sz="1100" b="1" i="0" u="none" strike="noStrike">
              <a:solidFill>
                <a:schemeClr val="dk1"/>
              </a:solidFill>
              <a:effectLst/>
              <a:latin typeface="+mn-lt"/>
              <a:ea typeface="+mn-ea"/>
              <a:cs typeface="+mn-cs"/>
            </a:rPr>
            <a:t>net avoided costs per 1,000 patient-days</a:t>
          </a:r>
          <a:r>
            <a:rPr lang="en-US" sz="1100" b="0" i="0" u="none" strike="noStrike">
              <a:solidFill>
                <a:schemeClr val="dk1"/>
              </a:solidFill>
              <a:effectLst/>
              <a:latin typeface="+mn-lt"/>
              <a:ea typeface="+mn-ea"/>
              <a:cs typeface="+mn-cs"/>
            </a:rPr>
            <a:t> achieved through the implementation of the evidence-based Fall TIPS prevention program, as reported by Dykes et al. (2023).</a:t>
          </a:r>
          <a:r>
            <a:rPr lang="en-US" sz="1100" b="0" i="0" u="none" strike="noStrike" baseline="30000">
              <a:solidFill>
                <a:schemeClr val="dk1"/>
              </a:solidFill>
              <a:effectLst/>
              <a:latin typeface="+mn-lt"/>
              <a:ea typeface="+mn-ea"/>
              <a:cs typeface="+mn-cs"/>
            </a:rPr>
            <a:t>181</a:t>
          </a:r>
          <a:r>
            <a:rPr lang="en-US" sz="1100" b="0" i="0" u="none" strike="noStrike">
              <a:solidFill>
                <a:schemeClr val="dk1"/>
              </a:solidFill>
              <a:effectLst/>
              <a:latin typeface="+mn-lt"/>
              <a:ea typeface="+mn-ea"/>
              <a:cs typeface="+mn-cs"/>
            </a:rPr>
            <a:t> It is </a:t>
          </a:r>
          <a:r>
            <a:rPr lang="en-US" sz="1100" b="0" i="1"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the average cost per fall event. Other sources estimate the additional cost per fall around $6,700 (AHRQ meta-analysis </a:t>
          </a:r>
          <a:r>
            <a:rPr lang="en-US" sz="1100" b="0" i="0" u="none" strike="noStrike" baseline="3000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 or the average cost per fall-related injury around $14,000.</a:t>
          </a:r>
          <a:r>
            <a:rPr lang="en-US" sz="1100" b="0" i="0" u="none" strike="noStrike" baseline="30000">
              <a:solidFill>
                <a:schemeClr val="dk1"/>
              </a:solidFill>
              <a:effectLst/>
              <a:latin typeface="+mn-lt"/>
              <a:ea typeface="+mn-ea"/>
              <a:cs typeface="+mn-cs"/>
            </a:rPr>
            <a:t>184</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Harmony Hill</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$750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as the approximate total cost (tuition plus room and meals) for an individual healthcare professional to attend a specific wellness/resilience retreat offered by Harmony Hill. Their website lists tuition for one such program at $550, with room and meals additional.</a:t>
          </a:r>
          <a:r>
            <a:rPr lang="en-US" sz="1100" b="0" i="0" u="none" strike="noStrike" baseline="30000">
              <a:solidFill>
                <a:schemeClr val="dk1"/>
              </a:solidFill>
              <a:effectLst/>
              <a:latin typeface="+mn-lt"/>
              <a:ea typeface="+mn-ea"/>
              <a:cs typeface="+mn-cs"/>
            </a:rPr>
            <a:t>185</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JSP Grant</a:t>
          </a:r>
          <a:r>
            <a:rPr lang="en-US" sz="1100" b="0" i="0" u="none" strike="noStrike">
              <a:solidFill>
                <a:schemeClr val="dk1"/>
              </a:solidFill>
              <a:effectLst/>
              <a:latin typeface="+mn-lt"/>
              <a:ea typeface="+mn-ea"/>
              <a:cs typeface="+mn-cs"/>
            </a:rPr>
            <a:t>: The figure of </a:t>
          </a:r>
          <a:r>
            <a:rPr lang="en-US" sz="1100" b="1" i="0" u="none" strike="noStrike">
              <a:solidFill>
                <a:schemeClr val="dk1"/>
              </a:solidFill>
              <a:effectLst/>
              <a:latin typeface="+mn-lt"/>
              <a:ea typeface="+mn-ea"/>
              <a:cs typeface="+mn-cs"/>
            </a:rPr>
            <a:t>$750</a:t>
          </a:r>
          <a:r>
            <a:rPr lang="en-US" sz="1100" b="0" i="0" u="none" strike="noStrike">
              <a:solidFill>
                <a:schemeClr val="dk1"/>
              </a:solidFill>
              <a:effectLst/>
              <a:latin typeface="+mn-lt"/>
              <a:ea typeface="+mn-ea"/>
              <a:cs typeface="+mn-cs"/>
            </a:rPr>
            <a:t> is </a:t>
          </a:r>
          <a:r>
            <a:rPr lang="en-US" sz="1100" b="1" i="0" u="none" strike="noStrike">
              <a:solidFill>
                <a:schemeClr val="dk1"/>
              </a:solidFill>
              <a:effectLst/>
              <a:latin typeface="+mn-lt"/>
              <a:ea typeface="+mn-ea"/>
              <a:cs typeface="+mn-cs"/>
            </a:rPr>
            <a:t>unverifiable</a:t>
          </a:r>
          <a:r>
            <a:rPr lang="en-US" sz="1100" b="0" i="0" u="none" strike="noStrike">
              <a:solidFill>
                <a:schemeClr val="dk1"/>
              </a:solidFill>
              <a:effectLst/>
              <a:latin typeface="+mn-lt"/>
              <a:ea typeface="+mn-ea"/>
              <a:cs typeface="+mn-cs"/>
            </a:rPr>
            <a:t> in the context of the Job Skills Program (JSP). JSP is a Washington State program providing dollar-for-dollar matching grants to businesses for customized employee training.</a:t>
          </a:r>
          <a:r>
            <a:rPr lang="en-US" sz="1100" b="0" i="0" u="none" strike="noStrike" baseline="30000">
              <a:solidFill>
                <a:schemeClr val="dk1"/>
              </a:solidFill>
              <a:effectLst/>
              <a:latin typeface="+mn-lt"/>
              <a:ea typeface="+mn-ea"/>
              <a:cs typeface="+mn-cs"/>
            </a:rPr>
            <a:t>186</a:t>
          </a:r>
          <a:r>
            <a:rPr lang="en-US" sz="1100" b="0" i="0" u="none" strike="noStrike">
              <a:solidFill>
                <a:schemeClr val="dk1"/>
              </a:solidFill>
              <a:effectLst/>
              <a:latin typeface="+mn-lt"/>
              <a:ea typeface="+mn-ea"/>
              <a:cs typeface="+mn-cs"/>
            </a:rPr>
            <a:t> Funding involves millions in state appropriations and significant company matches.</a:t>
          </a:r>
          <a:r>
            <a:rPr lang="en-US" sz="1100" b="0" i="0" u="none" strike="noStrike" baseline="30000">
              <a:solidFill>
                <a:schemeClr val="dk1"/>
              </a:solidFill>
              <a:effectLst/>
              <a:latin typeface="+mn-lt"/>
              <a:ea typeface="+mn-ea"/>
              <a:cs typeface="+mn-cs"/>
            </a:rPr>
            <a:t>186</a:t>
          </a:r>
          <a:r>
            <a:rPr lang="en-US" sz="1100" b="0" i="0" u="none" strike="noStrike">
              <a:solidFill>
                <a:schemeClr val="dk1"/>
              </a:solidFill>
              <a:effectLst/>
              <a:latin typeface="+mn-lt"/>
              <a:ea typeface="+mn-ea"/>
              <a:cs typeface="+mn-cs"/>
            </a:rPr>
            <a:t> $750 does not align with the scale or nature of this grant program and its source or meaning is unclear from the provided materials.</a:t>
          </a:r>
        </a:p>
        <a:p>
          <a:pPr rtl="0" fontAlgn="base"/>
          <a:r>
            <a:rPr lang="en-US" sz="1100" b="1" i="0" u="none" strike="noStrike">
              <a:solidFill>
                <a:schemeClr val="dk1"/>
              </a:solidFill>
              <a:effectLst/>
              <a:latin typeface="+mn-lt"/>
              <a:ea typeface="+mn-ea"/>
              <a:cs typeface="+mn-cs"/>
            </a:rPr>
            <a:t>Narcan Injection ($4,000)</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but specifically refers to the </a:t>
          </a:r>
          <a:r>
            <a:rPr lang="en-US" sz="1100" b="1" i="0" u="none" strike="noStrike">
              <a:solidFill>
                <a:schemeClr val="dk1"/>
              </a:solidFill>
              <a:effectLst/>
              <a:latin typeface="+mn-lt"/>
              <a:ea typeface="+mn-ea"/>
              <a:cs typeface="+mn-cs"/>
            </a:rPr>
            <a:t>historical high list price</a:t>
          </a:r>
          <a:r>
            <a:rPr lang="en-US" sz="1100" b="0" i="0" u="none" strike="noStrike">
              <a:solidFill>
                <a:schemeClr val="dk1"/>
              </a:solidFill>
              <a:effectLst/>
              <a:latin typeface="+mn-lt"/>
              <a:ea typeface="+mn-ea"/>
              <a:cs typeface="+mn-cs"/>
            </a:rPr>
            <a:t> of the </a:t>
          </a:r>
          <a:r>
            <a:rPr lang="en-US" sz="1100" b="1" i="0" u="none" strike="noStrike">
              <a:solidFill>
                <a:schemeClr val="dk1"/>
              </a:solidFill>
              <a:effectLst/>
              <a:latin typeface="+mn-lt"/>
              <a:ea typeface="+mn-ea"/>
              <a:cs typeface="+mn-cs"/>
            </a:rPr>
            <a:t>Evzio naloxone auto-injector</a:t>
          </a:r>
          <a:r>
            <a:rPr lang="en-US" sz="1100" b="0" i="0" u="none" strike="noStrike">
              <a:solidFill>
                <a:schemeClr val="dk1"/>
              </a:solidFill>
              <a:effectLst/>
              <a:latin typeface="+mn-lt"/>
              <a:ea typeface="+mn-ea"/>
              <a:cs typeface="+mn-cs"/>
            </a:rPr>
            <a:t> (a two-pack cost), not standard injectable naloxone vials.</a:t>
          </a:r>
          <a:r>
            <a:rPr lang="en-US" sz="1100" b="0" i="0" u="none" strike="noStrike" baseline="30000">
              <a:solidFill>
                <a:schemeClr val="dk1"/>
              </a:solidFill>
              <a:effectLst/>
              <a:latin typeface="+mn-lt"/>
              <a:ea typeface="+mn-ea"/>
              <a:cs typeface="+mn-cs"/>
            </a:rPr>
            <a:t>188</a:t>
          </a:r>
          <a:r>
            <a:rPr lang="en-US" sz="1100" b="0" i="0" u="none" strike="noStrike">
              <a:solidFill>
                <a:schemeClr val="dk1"/>
              </a:solidFill>
              <a:effectLst/>
              <a:latin typeface="+mn-lt"/>
              <a:ea typeface="+mn-ea"/>
              <a:cs typeface="+mn-cs"/>
            </a:rPr>
            <a:t> Generic naloxone injections are significantly less expensive ($21-$51 per vial/multi-dose unit </a:t>
          </a:r>
          <a:r>
            <a:rPr lang="en-US" sz="1100" b="0" i="0" u="none" strike="noStrike" baseline="30000">
              <a:solidFill>
                <a:schemeClr val="dk1"/>
              </a:solidFill>
              <a:effectLst/>
              <a:latin typeface="+mn-lt"/>
              <a:ea typeface="+mn-ea"/>
              <a:cs typeface="+mn-cs"/>
            </a:rPr>
            <a:t>192</a:t>
          </a:r>
          <a:r>
            <a:rPr lang="en-US" sz="1100" b="0" i="0" u="none" strike="noStrike">
              <a:solidFill>
                <a:schemeClr val="dk1"/>
              </a:solidFill>
              <a:effectLst/>
              <a:latin typeface="+mn-lt"/>
              <a:ea typeface="+mn-ea"/>
              <a:cs typeface="+mn-cs"/>
            </a:rPr>
            <a:t>). The Evzio auto-injector faced considerable pricing controversy and its availability/pricing has changed.</a:t>
          </a:r>
          <a:r>
            <a:rPr lang="en-US" sz="1100" b="0" i="0" u="none" strike="noStrike" baseline="30000">
              <a:solidFill>
                <a:schemeClr val="dk1"/>
              </a:solidFill>
              <a:effectLst/>
              <a:latin typeface="+mn-lt"/>
              <a:ea typeface="+mn-ea"/>
              <a:cs typeface="+mn-cs"/>
            </a:rPr>
            <a:t>193</a:t>
          </a:r>
          <a:endParaRPr lang="en-US" sz="1100" b="0" i="0" u="none" strike="noStrike">
            <a:solidFill>
              <a:schemeClr val="dk1"/>
            </a:solidFill>
            <a:effectLst/>
            <a:latin typeface="+mn-lt"/>
            <a:ea typeface="+mn-ea"/>
            <a:cs typeface="+mn-cs"/>
          </a:endParaRPr>
        </a:p>
        <a:p>
          <a:pPr rtl="0" fontAlgn="base"/>
          <a:r>
            <a:rPr lang="en-US" sz="1100" b="1" i="0" u="none" strike="noStrike">
              <a:solidFill>
                <a:schemeClr val="dk1"/>
              </a:solidFill>
              <a:effectLst/>
              <a:latin typeface="+mn-lt"/>
              <a:ea typeface="+mn-ea"/>
              <a:cs typeface="+mn-cs"/>
            </a:rPr>
            <a:t>Narcan Spray ($140)</a:t>
          </a:r>
          <a:r>
            <a:rPr lang="en-US" sz="1100" b="0" i="0" u="none" strike="noStrike">
              <a:solidFill>
                <a:schemeClr val="dk1"/>
              </a:solidFill>
              <a:effectLst/>
              <a:latin typeface="+mn-lt"/>
              <a:ea typeface="+mn-ea"/>
              <a:cs typeface="+mn-cs"/>
            </a:rPr>
            <a:t>: This figure appears </a:t>
          </a:r>
          <a:r>
            <a:rPr lang="en-US" sz="1100" b="1" i="0" u="none" strike="noStrike">
              <a:solidFill>
                <a:schemeClr val="dk1"/>
              </a:solidFill>
              <a:effectLst/>
              <a:latin typeface="+mn-lt"/>
              <a:ea typeface="+mn-ea"/>
              <a:cs typeface="+mn-cs"/>
            </a:rPr>
            <a:t>high</a:t>
          </a:r>
          <a:r>
            <a:rPr lang="en-US" sz="1100" b="0" i="0" u="none" strike="noStrike">
              <a:solidFill>
                <a:schemeClr val="dk1"/>
              </a:solidFill>
              <a:effectLst/>
              <a:latin typeface="+mn-lt"/>
              <a:ea typeface="+mn-ea"/>
              <a:cs typeface="+mn-cs"/>
            </a:rPr>
            <a:t> compared to current typical costs for a standard two-dose kit of Narcan (naloxone) nasal spray. Over-the-counter versions are available for under $50 </a:t>
          </a:r>
          <a:r>
            <a:rPr lang="en-US" sz="1100" b="0" i="0" u="none" strike="noStrike" baseline="30000">
              <a:solidFill>
                <a:schemeClr val="dk1"/>
              </a:solidFill>
              <a:effectLst/>
              <a:latin typeface="+mn-lt"/>
              <a:ea typeface="+mn-ea"/>
              <a:cs typeface="+mn-cs"/>
            </a:rPr>
            <a:t>196</a:t>
          </a:r>
          <a:r>
            <a:rPr lang="en-US" sz="1100" b="0" i="0" u="none" strike="noStrike">
              <a:solidFill>
                <a:schemeClr val="dk1"/>
              </a:solidFill>
              <a:effectLst/>
              <a:latin typeface="+mn-lt"/>
              <a:ea typeface="+mn-ea"/>
              <a:cs typeface="+mn-cs"/>
            </a:rPr>
            <a:t>, with major retailers pricing it around $45.</a:t>
          </a:r>
          <a:r>
            <a:rPr lang="en-US" sz="1100" b="0" i="0" u="none" strike="noStrike" baseline="30000">
              <a:solidFill>
                <a:schemeClr val="dk1"/>
              </a:solidFill>
              <a:effectLst/>
              <a:latin typeface="+mn-lt"/>
              <a:ea typeface="+mn-ea"/>
              <a:cs typeface="+mn-cs"/>
            </a:rPr>
            <a:t>197</a:t>
          </a:r>
          <a:r>
            <a:rPr lang="en-US" sz="1100" b="0" i="0" u="none" strike="noStrike">
              <a:solidFill>
                <a:schemeClr val="dk1"/>
              </a:solidFill>
              <a:effectLst/>
              <a:latin typeface="+mn-lt"/>
              <a:ea typeface="+mn-ea"/>
              <a:cs typeface="+mn-cs"/>
            </a:rPr>
            <a:t> Some kits bundled with first aid supplies cost more (~$65-$108 </a:t>
          </a:r>
          <a:r>
            <a:rPr lang="en-US" sz="1100" b="0" i="0" u="none" strike="noStrike" baseline="30000">
              <a:solidFill>
                <a:schemeClr val="dk1"/>
              </a:solidFill>
              <a:effectLst/>
              <a:latin typeface="+mn-lt"/>
              <a:ea typeface="+mn-ea"/>
              <a:cs typeface="+mn-cs"/>
            </a:rPr>
            <a:t>198</a:t>
          </a:r>
          <a:r>
            <a:rPr lang="en-US" sz="1100" b="0" i="0" u="none" strike="noStrike">
              <a:solidFill>
                <a:schemeClr val="dk1"/>
              </a:solidFill>
              <a:effectLst/>
              <a:latin typeface="+mn-lt"/>
              <a:ea typeface="+mn-ea"/>
              <a:cs typeface="+mn-cs"/>
            </a:rPr>
            <a:t>). $140 might reflect an older price point, a bulk purchase price, or a specific bundled kit, but it exceeds the common retail price for the medication itself.</a:t>
          </a:r>
        </a:p>
        <a:p>
          <a:pPr rtl="0" fontAlgn="base"/>
          <a:r>
            <a:rPr lang="en-US" sz="1100" b="1" i="0" u="none" strike="noStrike">
              <a:solidFill>
                <a:schemeClr val="dk1"/>
              </a:solidFill>
              <a:effectLst/>
              <a:latin typeface="+mn-lt"/>
              <a:ea typeface="+mn-ea"/>
              <a:cs typeface="+mn-cs"/>
            </a:rPr>
            <a:t>Patient ($1)</a:t>
          </a:r>
          <a:r>
            <a:rPr lang="en-US" sz="1100" b="0" i="0" u="none" strike="noStrike">
              <a:solidFill>
                <a:schemeClr val="dk1"/>
              </a:solidFill>
              <a:effectLst/>
              <a:latin typeface="+mn-lt"/>
              <a:ea typeface="+mn-ea"/>
              <a:cs typeface="+mn-cs"/>
            </a:rPr>
            <a:t>: This figure is interpreted as a </a:t>
          </a:r>
          <a:r>
            <a:rPr lang="en-US" sz="1100" b="1" i="0" u="none" strike="noStrike">
              <a:solidFill>
                <a:schemeClr val="dk1"/>
              </a:solidFill>
              <a:effectLst/>
              <a:latin typeface="+mn-lt"/>
              <a:ea typeface="+mn-ea"/>
              <a:cs typeface="+mn-cs"/>
            </a:rPr>
            <a:t>symbolic unit</a:t>
          </a:r>
          <a:r>
            <a:rPr lang="en-US" sz="1100" b="0" i="0" u="none" strike="noStrike">
              <a:solidFill>
                <a:schemeClr val="dk1"/>
              </a:solidFill>
              <a:effectLst/>
              <a:latin typeface="+mn-lt"/>
              <a:ea typeface="+mn-ea"/>
              <a:cs typeface="+mn-cs"/>
            </a:rPr>
            <a:t> representing a single patient for calculation or reference purposes, not a monetary cost.</a:t>
          </a:r>
        </a:p>
        <a:p>
          <a:pPr rtl="0"/>
          <a:r>
            <a:rPr lang="en-US" sz="1100" b="1" i="0" u="none" strike="noStrike">
              <a:solidFill>
                <a:schemeClr val="dk1"/>
              </a:solidFill>
              <a:effectLst/>
              <a:latin typeface="+mn-lt"/>
              <a:ea typeface="+mn-ea"/>
              <a:cs typeface="+mn-cs"/>
            </a:rPr>
            <a:t>Analysis of Vaccine Preventable Diseases (VPDs) - Hospitalization Costs</a:t>
          </a:r>
          <a:endParaRPr lang="en-US" b="1">
            <a:effectLst/>
          </a:endParaRPr>
        </a:p>
        <a:p>
          <a:pPr rtl="0"/>
          <a:r>
            <a:rPr lang="en-US" sz="1100" b="0" i="0" u="none" strike="noStrike">
              <a:solidFill>
                <a:schemeClr val="dk1"/>
              </a:solidFill>
              <a:effectLst/>
              <a:latin typeface="+mn-lt"/>
              <a:ea typeface="+mn-ea"/>
              <a:cs typeface="+mn-cs"/>
            </a:rPr>
            <a:t>This section addresses the specific costs provided for inpatient (IP) treatment of several vaccine-preventable diseases. It compares the user figures against estimates found in the literature, primarily a 2016 Health Affairs study estimating unit costs per case.</a:t>
          </a:r>
          <a:r>
            <a:rPr lang="en-US" sz="1100" b="0" i="0" u="none" strike="noStrike" baseline="30000">
              <a:solidFill>
                <a:schemeClr val="dk1"/>
              </a:solidFill>
              <a:effectLst/>
              <a:latin typeface="+mn-lt"/>
              <a:ea typeface="+mn-ea"/>
              <a:cs typeface="+mn-cs"/>
            </a:rPr>
            <a:t>200</a:t>
          </a:r>
          <a:endParaRPr lang="en-US" b="0">
            <a:effectLst/>
          </a:endParaRPr>
        </a:p>
        <a:p>
          <a:pPr rtl="0" fontAlgn="base"/>
          <a:r>
            <a:rPr lang="en-US" sz="1100" b="1" i="0" u="none" strike="noStrike">
              <a:solidFill>
                <a:schemeClr val="dk1"/>
              </a:solidFill>
              <a:effectLst/>
              <a:latin typeface="+mn-lt"/>
              <a:ea typeface="+mn-ea"/>
              <a:cs typeface="+mn-cs"/>
            </a:rPr>
            <a:t>VPD (IP) Hepatitis B ($27,051)</a:t>
          </a:r>
          <a:r>
            <a:rPr lang="en-US" sz="1100" b="0" i="0" u="none" strike="noStrike">
              <a:solidFill>
                <a:schemeClr val="dk1"/>
              </a:solidFill>
              <a:effectLst/>
              <a:latin typeface="+mn-lt"/>
              <a:ea typeface="+mn-ea"/>
              <a:cs typeface="+mn-cs"/>
            </a:rPr>
            <a:t>: This figure shows a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The Health Affairs study estimated the inpatient unit cost per case of Hepatitis B at </a:t>
          </a:r>
          <a:r>
            <a:rPr lang="en-US" sz="1100" b="1" i="0" u="none" strike="noStrike">
              <a:solidFill>
                <a:schemeClr val="dk1"/>
              </a:solidFill>
              <a:effectLst/>
              <a:latin typeface="+mn-lt"/>
              <a:ea typeface="+mn-ea"/>
              <a:cs typeface="+mn-cs"/>
            </a:rPr>
            <a:t>$8,940</a:t>
          </a:r>
          <a:r>
            <a:rPr lang="en-US" sz="1100" b="0" i="0" u="none" strike="noStrike">
              <a:solidFill>
                <a:schemeClr val="dk1"/>
              </a:solidFill>
              <a:effectLst/>
              <a:latin typeface="+mn-lt"/>
              <a:ea typeface="+mn-ea"/>
              <a:cs typeface="+mn-cs"/>
            </a:rPr>
            <a:t> (2015 USD).</a:t>
          </a:r>
          <a:r>
            <a:rPr lang="en-US" sz="1100" b="0" i="0" u="none" strike="noStrike" baseline="30000">
              <a:solidFill>
                <a:schemeClr val="dk1"/>
              </a:solidFill>
              <a:effectLst/>
              <a:latin typeface="+mn-lt"/>
              <a:ea typeface="+mn-ea"/>
              <a:cs typeface="+mn-cs"/>
            </a:rPr>
            <a:t>200</a:t>
          </a:r>
          <a:r>
            <a:rPr lang="en-US" sz="1100" b="0" i="0" u="none" strike="noStrike">
              <a:solidFill>
                <a:schemeClr val="dk1"/>
              </a:solidFill>
              <a:effectLst/>
              <a:latin typeface="+mn-lt"/>
              <a:ea typeface="+mn-ea"/>
              <a:cs typeface="+mn-cs"/>
            </a:rPr>
            <a:t> The $27,051 figure is substantially higher and might encompass costs beyond the acute hospitalization, such as treatment for chronic complications (cirrhosis, liver cancer), or potentially reflect hospital charges.</a:t>
          </a:r>
        </a:p>
        <a:p>
          <a:pPr rtl="0" fontAlgn="base"/>
          <a:r>
            <a:rPr lang="en-US" sz="1100" b="1" i="0" u="none" strike="noStrike">
              <a:solidFill>
                <a:schemeClr val="dk1"/>
              </a:solidFill>
              <a:effectLst/>
              <a:latin typeface="+mn-lt"/>
              <a:ea typeface="+mn-ea"/>
              <a:cs typeface="+mn-cs"/>
            </a:rPr>
            <a:t>VPD (IP) Measles ($46,000)</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plausible but likely includes outbreak response costs</a:t>
          </a:r>
          <a:r>
            <a:rPr lang="en-US" sz="1100" b="0" i="0" u="none" strike="noStrike">
              <a:solidFill>
                <a:schemeClr val="dk1"/>
              </a:solidFill>
              <a:effectLst/>
              <a:latin typeface="+mn-lt"/>
              <a:ea typeface="+mn-ea"/>
              <a:cs typeface="+mn-cs"/>
            </a:rPr>
            <a:t>. The Health Affairs study estimated the inpatient unit cost per case at </a:t>
          </a:r>
          <a:r>
            <a:rPr lang="en-US" sz="1100" b="1" i="0" u="none" strike="noStrike">
              <a:solidFill>
                <a:schemeClr val="dk1"/>
              </a:solidFill>
              <a:effectLst/>
              <a:latin typeface="+mn-lt"/>
              <a:ea typeface="+mn-ea"/>
              <a:cs typeface="+mn-cs"/>
            </a:rPr>
            <a:t>$8,690</a:t>
          </a:r>
          <a:r>
            <a:rPr lang="en-US" sz="1100" b="0" i="0" u="none" strike="noStrike">
              <a:solidFill>
                <a:schemeClr val="dk1"/>
              </a:solidFill>
              <a:effectLst/>
              <a:latin typeface="+mn-lt"/>
              <a:ea typeface="+mn-ea"/>
              <a:cs typeface="+mn-cs"/>
            </a:rPr>
            <a:t>.</a:t>
          </a:r>
          <a:r>
            <a:rPr lang="en-US" sz="1100" b="0" i="0" u="none" strike="noStrike" baseline="30000">
              <a:solidFill>
                <a:schemeClr val="dk1"/>
              </a:solidFill>
              <a:effectLst/>
              <a:latin typeface="+mn-lt"/>
              <a:ea typeface="+mn-ea"/>
              <a:cs typeface="+mn-cs"/>
            </a:rPr>
            <a:t>200</a:t>
          </a:r>
          <a:r>
            <a:rPr lang="en-US" sz="1100" b="0" i="0" u="none" strike="noStrike">
              <a:solidFill>
                <a:schemeClr val="dk1"/>
              </a:solidFill>
              <a:effectLst/>
              <a:latin typeface="+mn-lt"/>
              <a:ea typeface="+mn-ea"/>
              <a:cs typeface="+mn-cs"/>
            </a:rPr>
            <a:t> However, studies analyzing measles outbreak costs report much higher figures per case, reflecting extensive public health efforts (contact tracing, containment, vaccination). Median cost per case during outbreaks was cited as $32,805 (range $7k-$76k) </a:t>
          </a:r>
          <a:r>
            <a:rPr lang="en-US" sz="1100" b="0" i="0" u="none" strike="noStrike" baseline="30000">
              <a:solidFill>
                <a:schemeClr val="dk1"/>
              </a:solidFill>
              <a:effectLst/>
              <a:latin typeface="+mn-lt"/>
              <a:ea typeface="+mn-ea"/>
              <a:cs typeface="+mn-cs"/>
            </a:rPr>
            <a:t>201</a:t>
          </a:r>
          <a:r>
            <a:rPr lang="en-US" sz="1100" b="0" i="0" u="none" strike="noStrike">
              <a:solidFill>
                <a:schemeClr val="dk1"/>
              </a:solidFill>
              <a:effectLst/>
              <a:latin typeface="+mn-lt"/>
              <a:ea typeface="+mn-ea"/>
              <a:cs typeface="+mn-cs"/>
            </a:rPr>
            <a:t>, and costs for imported cases ranged up to $46,800.</a:t>
          </a:r>
          <a:r>
            <a:rPr lang="en-US" sz="1100" b="0" i="0" u="none" strike="noStrike" baseline="30000">
              <a:solidFill>
                <a:schemeClr val="dk1"/>
              </a:solidFill>
              <a:effectLst/>
              <a:latin typeface="+mn-lt"/>
              <a:ea typeface="+mn-ea"/>
              <a:cs typeface="+mn-cs"/>
            </a:rPr>
            <a:t>202</a:t>
          </a:r>
          <a:r>
            <a:rPr lang="en-US" sz="1100" b="0" i="0" u="none" strike="noStrike">
              <a:solidFill>
                <a:schemeClr val="dk1"/>
              </a:solidFill>
              <a:effectLst/>
              <a:latin typeface="+mn-lt"/>
              <a:ea typeface="+mn-ea"/>
              <a:cs typeface="+mn-cs"/>
            </a:rPr>
            <a:t> The $46,000 figure aligns with these higher estimates that incorporate broader public health response costs, not just direct inpatient medical expenses.</a:t>
          </a:r>
        </a:p>
        <a:p>
          <a:pPr rtl="0" fontAlgn="base"/>
          <a:r>
            <a:rPr lang="en-US" sz="1100" b="1" i="0" u="none" strike="noStrike">
              <a:solidFill>
                <a:schemeClr val="dk1"/>
              </a:solidFill>
              <a:effectLst/>
              <a:latin typeface="+mn-lt"/>
              <a:ea typeface="+mn-ea"/>
              <a:cs typeface="+mn-cs"/>
            </a:rPr>
            <a:t>VPD (IP) Mumps ($46,060)</a:t>
          </a:r>
          <a:r>
            <a:rPr lang="en-US" sz="1100" b="0" i="0" u="none" strike="noStrike">
              <a:solidFill>
                <a:schemeClr val="dk1"/>
              </a:solidFill>
              <a:effectLst/>
              <a:latin typeface="+mn-lt"/>
              <a:ea typeface="+mn-ea"/>
              <a:cs typeface="+mn-cs"/>
            </a:rPr>
            <a:t>: This figure shows a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The Health Affairs study estimated the inpatient unit cost per case of Mumps at </a:t>
          </a:r>
          <a:r>
            <a:rPr lang="en-US" sz="1100" b="1" i="0" u="none" strike="noStrike">
              <a:solidFill>
                <a:schemeClr val="dk1"/>
              </a:solidFill>
              <a:effectLst/>
              <a:latin typeface="+mn-lt"/>
              <a:ea typeface="+mn-ea"/>
              <a:cs typeface="+mn-cs"/>
            </a:rPr>
            <a:t>$9,200</a:t>
          </a:r>
          <a:r>
            <a:rPr lang="en-US" sz="1100" b="0" i="0" u="none" strike="noStrike">
              <a:solidFill>
                <a:schemeClr val="dk1"/>
              </a:solidFill>
              <a:effectLst/>
              <a:latin typeface="+mn-lt"/>
              <a:ea typeface="+mn-ea"/>
              <a:cs typeface="+mn-cs"/>
            </a:rPr>
            <a:t>.</a:t>
          </a:r>
          <a:r>
            <a:rPr lang="en-US" sz="1100" b="0" i="0" u="none" strike="noStrike" baseline="30000">
              <a:solidFill>
                <a:schemeClr val="dk1"/>
              </a:solidFill>
              <a:effectLst/>
              <a:latin typeface="+mn-lt"/>
              <a:ea typeface="+mn-ea"/>
              <a:cs typeface="+mn-cs"/>
            </a:rPr>
            <a:t>200</a:t>
          </a:r>
          <a:r>
            <a:rPr lang="en-US" sz="1100" b="0" i="0" u="none" strike="noStrike">
              <a:solidFill>
                <a:schemeClr val="dk1"/>
              </a:solidFill>
              <a:effectLst/>
              <a:latin typeface="+mn-lt"/>
              <a:ea typeface="+mn-ea"/>
              <a:cs typeface="+mn-cs"/>
            </a:rPr>
            <a:t> Similar to Hepatitis B, the $46,060 figure is significantly higher (5x) and may include costs associated with complications (e.g., orchitis, meningitis) or outbreak management, rather than just the typical inpatient stay cost.</a:t>
          </a:r>
        </a:p>
        <a:p>
          <a:pPr rtl="0" fontAlgn="base"/>
          <a:r>
            <a:rPr lang="en-US" sz="1100" b="1" i="0" u="none" strike="noStrike">
              <a:solidFill>
                <a:schemeClr val="dk1"/>
              </a:solidFill>
              <a:effectLst/>
              <a:latin typeface="+mn-lt"/>
              <a:ea typeface="+mn-ea"/>
              <a:cs typeface="+mn-cs"/>
            </a:rPr>
            <a:t>VPD (IP) Pneumococcal ($25,848)</a:t>
          </a:r>
          <a:r>
            <a:rPr lang="en-US" sz="1100" b="0" i="0" u="none" strike="noStrike">
              <a:solidFill>
                <a:schemeClr val="dk1"/>
              </a:solidFill>
              <a:effectLst/>
              <a:latin typeface="+mn-lt"/>
              <a:ea typeface="+mn-ea"/>
              <a:cs typeface="+mn-cs"/>
            </a:rPr>
            <a:t>: This figure is </a:t>
          </a:r>
          <a:r>
            <a:rPr lang="en-US" sz="1100" b="1" i="0" u="none" strike="noStrike">
              <a:solidFill>
                <a:schemeClr val="dk1"/>
              </a:solidFill>
              <a:effectLst/>
              <a:latin typeface="+mn-lt"/>
              <a:ea typeface="+mn-ea"/>
              <a:cs typeface="+mn-cs"/>
            </a:rPr>
            <a:t>plausible</a:t>
          </a:r>
          <a:r>
            <a:rPr lang="en-US" sz="1100" b="0" i="0" u="none" strike="noStrike">
              <a:solidFill>
                <a:schemeClr val="dk1"/>
              </a:solidFill>
              <a:effectLst/>
              <a:latin typeface="+mn-lt"/>
              <a:ea typeface="+mn-ea"/>
              <a:cs typeface="+mn-cs"/>
            </a:rPr>
            <a:t> for more severe or complex pneumococcal hospitalizations. The Health Affairs study estimated the average inpatient unit cost at </a:t>
          </a:r>
          <a:r>
            <a:rPr lang="en-US" sz="1100" b="1" i="0" u="none" strike="noStrike">
              <a:solidFill>
                <a:schemeClr val="dk1"/>
              </a:solidFill>
              <a:effectLst/>
              <a:latin typeface="+mn-lt"/>
              <a:ea typeface="+mn-ea"/>
              <a:cs typeface="+mn-cs"/>
            </a:rPr>
            <a:t>$15,200</a:t>
          </a:r>
          <a:r>
            <a:rPr lang="en-US" sz="1100" b="0" i="0" u="none" strike="noStrike">
              <a:solidFill>
                <a:schemeClr val="dk1"/>
              </a:solidFill>
              <a:effectLst/>
              <a:latin typeface="+mn-lt"/>
              <a:ea typeface="+mn-ea"/>
              <a:cs typeface="+mn-cs"/>
            </a:rPr>
            <a:t>.</a:t>
          </a:r>
          <a:r>
            <a:rPr lang="en-US" sz="1100" b="0" i="0" u="none" strike="noStrike" baseline="30000">
              <a:solidFill>
                <a:schemeClr val="dk1"/>
              </a:solidFill>
              <a:effectLst/>
              <a:latin typeface="+mn-lt"/>
              <a:ea typeface="+mn-ea"/>
              <a:cs typeface="+mn-cs"/>
            </a:rPr>
            <a:t>200</a:t>
          </a:r>
          <a:r>
            <a:rPr lang="en-US" sz="1100" b="0" i="0" u="none" strike="noStrike">
              <a:solidFill>
                <a:schemeClr val="dk1"/>
              </a:solidFill>
              <a:effectLst/>
              <a:latin typeface="+mn-lt"/>
              <a:ea typeface="+mn-ea"/>
              <a:cs typeface="+mn-cs"/>
            </a:rPr>
            <a:t> However, a modeling study focusing on immunocompromised adults found costs for invasive pneumococcal disease (IPD) and nonbacteremic pneumonia hospitalizations ranged from $17k up to $35k, depending on age and outcome.</a:t>
          </a:r>
          <a:r>
            <a:rPr lang="en-US" sz="1100" b="0" i="0" u="none" strike="noStrike" baseline="30000">
              <a:solidFill>
                <a:schemeClr val="dk1"/>
              </a:solidFill>
              <a:effectLst/>
              <a:latin typeface="+mn-lt"/>
              <a:ea typeface="+mn-ea"/>
              <a:cs typeface="+mn-cs"/>
            </a:rPr>
            <a:t>203</a:t>
          </a:r>
          <a:r>
            <a:rPr lang="en-US" sz="1100" b="0" i="0" u="none" strike="noStrike">
              <a:solidFill>
                <a:schemeClr val="dk1"/>
              </a:solidFill>
              <a:effectLst/>
              <a:latin typeface="+mn-lt"/>
              <a:ea typeface="+mn-ea"/>
              <a:cs typeface="+mn-cs"/>
            </a:rPr>
            <a:t> $25,848 falls within this range, suggesting it may represent costs for older patients, those with complications, or an average across various severity levels within this higher range.</a:t>
          </a:r>
        </a:p>
        <a:p>
          <a:pPr rtl="0" fontAlgn="base"/>
          <a:r>
            <a:rPr lang="en-US" sz="1100" b="1" i="0" u="none" strike="noStrike">
              <a:solidFill>
                <a:schemeClr val="dk1"/>
              </a:solidFill>
              <a:effectLst/>
              <a:latin typeface="+mn-lt"/>
              <a:ea typeface="+mn-ea"/>
              <a:cs typeface="+mn-cs"/>
            </a:rPr>
            <a:t>VPD (IP) Varicella ($22,113)</a:t>
          </a:r>
          <a:r>
            <a:rPr lang="en-US" sz="1100" b="0" i="0" u="none" strike="noStrike">
              <a:solidFill>
                <a:schemeClr val="dk1"/>
              </a:solidFill>
              <a:effectLst/>
              <a:latin typeface="+mn-lt"/>
              <a:ea typeface="+mn-ea"/>
              <a:cs typeface="+mn-cs"/>
            </a:rPr>
            <a:t>: This figure shows a </a:t>
          </a:r>
          <a:r>
            <a:rPr lang="en-US" sz="1100" b="1" i="0" u="none" strike="noStrike">
              <a:solidFill>
                <a:schemeClr val="dk1"/>
              </a:solidFill>
              <a:effectLst/>
              <a:latin typeface="+mn-lt"/>
              <a:ea typeface="+mn-ea"/>
              <a:cs typeface="+mn-cs"/>
            </a:rPr>
            <a:t>discrepancy</a:t>
          </a:r>
          <a:r>
            <a:rPr lang="en-US" sz="1100" b="0" i="0" u="none" strike="noStrike">
              <a:solidFill>
                <a:schemeClr val="dk1"/>
              </a:solidFill>
              <a:effectLst/>
              <a:latin typeface="+mn-lt"/>
              <a:ea typeface="+mn-ea"/>
              <a:cs typeface="+mn-cs"/>
            </a:rPr>
            <a:t>. The Health Affairs study estimated the inpatient unit cost per case of Varicella at </a:t>
          </a:r>
          <a:r>
            <a:rPr lang="en-US" sz="1100" b="1" i="0" u="none" strike="noStrike">
              <a:solidFill>
                <a:schemeClr val="dk1"/>
              </a:solidFill>
              <a:effectLst/>
              <a:latin typeface="+mn-lt"/>
              <a:ea typeface="+mn-ea"/>
              <a:cs typeface="+mn-cs"/>
            </a:rPr>
            <a:t>$7,540</a:t>
          </a:r>
          <a:r>
            <a:rPr lang="en-US" sz="1100" b="0" i="0" u="none" strike="noStrike">
              <a:solidFill>
                <a:schemeClr val="dk1"/>
              </a:solidFill>
              <a:effectLst/>
              <a:latin typeface="+mn-lt"/>
              <a:ea typeface="+mn-ea"/>
              <a:cs typeface="+mn-cs"/>
            </a:rPr>
            <a:t>.</a:t>
          </a:r>
          <a:r>
            <a:rPr lang="en-US" sz="1100" b="0" i="0" u="none" strike="noStrike" baseline="30000">
              <a:solidFill>
                <a:schemeClr val="dk1"/>
              </a:solidFill>
              <a:effectLst/>
              <a:latin typeface="+mn-lt"/>
              <a:ea typeface="+mn-ea"/>
              <a:cs typeface="+mn-cs"/>
            </a:rPr>
            <a:t>200</a:t>
          </a:r>
          <a:r>
            <a:rPr lang="en-US" sz="1100" b="0" i="0" u="none" strike="noStrike">
              <a:solidFill>
                <a:schemeClr val="dk1"/>
              </a:solidFill>
              <a:effectLst/>
              <a:latin typeface="+mn-lt"/>
              <a:ea typeface="+mn-ea"/>
              <a:cs typeface="+mn-cs"/>
            </a:rPr>
            <a:t> Varicella hospitalizations are now rare, particularly in children, due to widespread vaccination.</a:t>
          </a:r>
          <a:r>
            <a:rPr lang="en-US" sz="1100" b="0" i="0" u="none" strike="noStrike" baseline="30000">
              <a:solidFill>
                <a:schemeClr val="dk1"/>
              </a:solidFill>
              <a:effectLst/>
              <a:latin typeface="+mn-lt"/>
              <a:ea typeface="+mn-ea"/>
              <a:cs typeface="+mn-cs"/>
            </a:rPr>
            <a:t>204</a:t>
          </a:r>
          <a:r>
            <a:rPr lang="en-US" sz="1100" b="0" i="0" u="none" strike="noStrike">
              <a:solidFill>
                <a:schemeClr val="dk1"/>
              </a:solidFill>
              <a:effectLst/>
              <a:latin typeface="+mn-lt"/>
              <a:ea typeface="+mn-ea"/>
              <a:cs typeface="+mn-cs"/>
            </a:rPr>
            <a:t> The remaining cases often occur in adults or immunocompromised individuals and may involve complications, potentially driving up the average cost for those who </a:t>
          </a:r>
          <a:r>
            <a:rPr lang="en-US" sz="1100" b="0" i="1" u="none" strike="noStrike">
              <a:solidFill>
                <a:schemeClr val="dk1"/>
              </a:solidFill>
              <a:effectLst/>
              <a:latin typeface="+mn-lt"/>
              <a:ea typeface="+mn-ea"/>
              <a:cs typeface="+mn-cs"/>
            </a:rPr>
            <a:t>are</a:t>
          </a:r>
          <a:r>
            <a:rPr lang="en-US" sz="1100" b="0" i="0" u="none" strike="noStrike">
              <a:solidFill>
                <a:schemeClr val="dk1"/>
              </a:solidFill>
              <a:effectLst/>
              <a:latin typeface="+mn-lt"/>
              <a:ea typeface="+mn-ea"/>
              <a:cs typeface="+mn-cs"/>
            </a:rPr>
            <a:t> hospitalized. The $22,113 figure might reflect these more complex, less frequent cases, but direct verification is lacking.</a:t>
          </a:r>
        </a:p>
        <a:p>
          <a:pPr rtl="0"/>
          <a:endParaRPr lang="en-US" sz="1100" b="1" i="0" u="none" strike="noStrike">
            <a:solidFill>
              <a:schemeClr val="dk1"/>
            </a:solidFill>
            <a:effectLst/>
            <a:latin typeface="+mn-lt"/>
            <a:ea typeface="+mn-ea"/>
            <a:cs typeface="+mn-cs"/>
          </a:endParaRPr>
        </a:p>
        <a:p>
          <a:pPr rtl="0"/>
          <a:endParaRPr lang="en-US" sz="1100" b="1" i="0" u="none" strike="noStrike">
            <a:solidFill>
              <a:schemeClr val="dk1"/>
            </a:solidFill>
            <a:effectLst/>
            <a:latin typeface="+mn-lt"/>
            <a:ea typeface="+mn-ea"/>
            <a:cs typeface="+mn-cs"/>
          </a:endParaRPr>
        </a:p>
        <a:p>
          <a:pPr rtl="0"/>
          <a:r>
            <a:rPr lang="en-US" sz="1100" b="1" i="0" u="none" strike="noStrike">
              <a:solidFill>
                <a:schemeClr val="dk1"/>
              </a:solidFill>
              <a:effectLst/>
              <a:latin typeface="+mn-lt"/>
              <a:ea typeface="+mn-ea"/>
              <a:cs typeface="+mn-cs"/>
            </a:rPr>
            <a:t>Conclusion</a:t>
          </a:r>
          <a:endParaRPr lang="en-US" b="1">
            <a:effectLst/>
          </a:endParaRPr>
        </a:p>
        <a:p>
          <a:pPr rtl="0"/>
          <a:r>
            <a:rPr lang="en-US" sz="1100" b="0" i="0" u="none" strike="noStrike">
              <a:solidFill>
                <a:schemeClr val="dk1"/>
              </a:solidFill>
              <a:effectLst/>
              <a:latin typeface="+mn-lt"/>
              <a:ea typeface="+mn-ea"/>
              <a:cs typeface="+mn-cs"/>
            </a:rPr>
            <a:t>This analysis successfully verified a number of the provided healthcare expense figures against published data, primarily utilizing resources from AHRQ (HCUP, MEPS), peer-reviewed literature indexed in PubMed, and reputable industry reports like those from NSI Nursing Solutions. Key verified figures include costs for several HACs (CLABSI, SSI, VAP, specific MRSA/MSSA infections, Stage IV HAPU), specific events (ADE, certain blood culture scenarios, OBAE), conditions (CDI, Epilepsy incremental cost, Hypertension direct treatment cost, Influenza average treatment cost, Buprenorphine/Naltrexone treatment cost), employee-related costs (Absenteeism, Wellness Program Savings), and RN turnover metrics.</a:t>
          </a:r>
          <a:endParaRPr lang="en-US" b="0">
            <a:effectLst/>
          </a:endParaRPr>
        </a:p>
        <a:p>
          <a:pPr rtl="0"/>
          <a:r>
            <a:rPr lang="en-US" sz="1100" b="0" i="0" u="none" strike="noStrike">
              <a:solidFill>
                <a:schemeClr val="dk1"/>
              </a:solidFill>
              <a:effectLst/>
              <a:latin typeface="+mn-lt"/>
              <a:ea typeface="+mn-ea"/>
              <a:cs typeface="+mn-cs"/>
            </a:rPr>
            <a:t>However, several significant discrepancies and unverifiable figures were identified:</a:t>
          </a:r>
          <a:endParaRPr lang="en-US" b="0">
            <a:effectLst/>
          </a:endParaRPr>
        </a:p>
        <a:p>
          <a:pPr rtl="0" fontAlgn="base"/>
          <a:r>
            <a:rPr lang="en-US" sz="1100" b="1" i="0" u="none" strike="noStrike">
              <a:solidFill>
                <a:schemeClr val="dk1"/>
              </a:solidFill>
              <a:effectLst/>
              <a:latin typeface="+mn-lt"/>
              <a:ea typeface="+mn-ea"/>
              <a:cs typeface="+mn-cs"/>
            </a:rPr>
            <a:t>Data Mismatches</a:t>
          </a:r>
          <a:r>
            <a:rPr lang="en-US" sz="1100" b="0" i="0" u="none" strike="noStrike">
              <a:solidFill>
                <a:schemeClr val="dk1"/>
              </a:solidFill>
              <a:effectLst/>
              <a:latin typeface="+mn-lt"/>
              <a:ea typeface="+mn-ea"/>
              <a:cs typeface="+mn-cs"/>
            </a:rPr>
            <a:t>: The provided figure for CAUTI ($48,108) clearly matched the CLABSI cost from the same source; the verified CAUTI cost is much lower ($13,793). Figures for Heart Attack ($53,384), Pneumonia ($4,532), and several VPDs (Hep B, Mumps, Varicella) were substantially different from average inpatient costs found in cited sources, potentially reflecting different cost definitions (e.g., lifetime costs, societal costs, charges) or specific high-cost scenarios.</a:t>
          </a:r>
        </a:p>
        <a:p>
          <a:pPr rtl="0" fontAlgn="base"/>
          <a:r>
            <a:rPr lang="en-US" sz="1100" b="1" i="0" u="none" strike="noStrike">
              <a:solidFill>
                <a:schemeClr val="dk1"/>
              </a:solidFill>
              <a:effectLst/>
              <a:latin typeface="+mn-lt"/>
              <a:ea typeface="+mn-ea"/>
              <a:cs typeface="+mn-cs"/>
            </a:rPr>
            <a:t>Ambiguity and Lack of Context</a:t>
          </a:r>
          <a:r>
            <a:rPr lang="en-US" sz="1100" b="0" i="0" u="none" strike="noStrike">
              <a:solidFill>
                <a:schemeClr val="dk1"/>
              </a:solidFill>
              <a:effectLst/>
              <a:latin typeface="+mn-lt"/>
              <a:ea typeface="+mn-ea"/>
              <a:cs typeface="+mn-cs"/>
            </a:rPr>
            <a:t>: Many figures, particularly for services like Anesthesia, Lab/Pathology, Radiology, IV/SubQ drug delivery, and Supplies, lacked sufficient context (e.g., per visit, per stay, per day, specific procedure/test) to allow for meaningful verification against available data. Similarly, costs for generic "Back Injury," "Employee Injury per incidence," and specific program costs (WPV Program, JSP Grant, Nurse Residency) require clarification.</a:t>
          </a:r>
        </a:p>
        <a:p>
          <a:pPr rtl="0" fontAlgn="base"/>
          <a:r>
            <a:rPr lang="en-US" sz="1100" b="1" i="0" u="none" strike="noStrike">
              <a:solidFill>
                <a:schemeClr val="dk1"/>
              </a:solidFill>
              <a:effectLst/>
              <a:latin typeface="+mn-lt"/>
              <a:ea typeface="+mn-ea"/>
              <a:cs typeface="+mn-cs"/>
            </a:rPr>
            <a:t>Cost vs. Charge</a:t>
          </a:r>
          <a:r>
            <a:rPr lang="en-US" sz="1100" b="0" i="0" u="none" strike="noStrike">
              <a:solidFill>
                <a:schemeClr val="dk1"/>
              </a:solidFill>
              <a:effectLst/>
              <a:latin typeface="+mn-lt"/>
              <a:ea typeface="+mn-ea"/>
              <a:cs typeface="+mn-cs"/>
            </a:rPr>
            <a:t>: Figures for ED visits ($2,096) and ICU per diem ($15,000) appear significantly inflated compared to average </a:t>
          </a:r>
          <a:r>
            <a:rPr lang="en-US" sz="1100" b="0" i="1" u="none" strike="noStrike">
              <a:solidFill>
                <a:schemeClr val="dk1"/>
              </a:solidFill>
              <a:effectLst/>
              <a:latin typeface="+mn-lt"/>
              <a:ea typeface="+mn-ea"/>
              <a:cs typeface="+mn-cs"/>
            </a:rPr>
            <a:t>costs</a:t>
          </a:r>
          <a:r>
            <a:rPr lang="en-US" sz="1100" b="0" i="0" u="none" strike="noStrike">
              <a:solidFill>
                <a:schemeClr val="dk1"/>
              </a:solidFill>
              <a:effectLst/>
              <a:latin typeface="+mn-lt"/>
              <a:ea typeface="+mn-ea"/>
              <a:cs typeface="+mn-cs"/>
            </a:rPr>
            <a:t> reported in HCUP/literature and may reflect hospital </a:t>
          </a:r>
          <a:r>
            <a:rPr lang="en-US" sz="1100" b="0" i="1" u="none" strike="noStrike">
              <a:solidFill>
                <a:schemeClr val="dk1"/>
              </a:solidFill>
              <a:effectLst/>
              <a:latin typeface="+mn-lt"/>
              <a:ea typeface="+mn-ea"/>
              <a:cs typeface="+mn-cs"/>
            </a:rPr>
            <a:t>charges</a:t>
          </a:r>
          <a:r>
            <a:rPr lang="en-US" sz="1100" b="0" i="0" u="none" strike="noStrike">
              <a:solidFill>
                <a:schemeClr val="dk1"/>
              </a:solidFill>
              <a:effectLst/>
              <a:latin typeface="+mn-lt"/>
              <a:ea typeface="+mn-ea"/>
              <a:cs typeface="+mn-cs"/>
            </a:rPr>
            <a:t>.</a:t>
          </a:r>
        </a:p>
        <a:p>
          <a:pPr rtl="0" fontAlgn="base"/>
          <a:r>
            <a:rPr lang="en-US" sz="1100" b="1" i="0" u="none" strike="noStrike">
              <a:solidFill>
                <a:schemeClr val="dk1"/>
              </a:solidFill>
              <a:effectLst/>
              <a:latin typeface="+mn-lt"/>
              <a:ea typeface="+mn-ea"/>
              <a:cs typeface="+mn-cs"/>
            </a:rPr>
            <a:t>High-End Estimates</a:t>
          </a:r>
          <a:r>
            <a:rPr lang="en-US" sz="1100" b="0" i="0" u="none" strike="noStrike">
              <a:solidFill>
                <a:schemeClr val="dk1"/>
              </a:solidFill>
              <a:effectLst/>
              <a:latin typeface="+mn-lt"/>
              <a:ea typeface="+mn-ea"/>
              <a:cs typeface="+mn-cs"/>
            </a:rPr>
            <a:t>: Several condition costs (ADHD, Anxiety, Depression, Eating Disorder, Lupus) and staffing salaries/wages (NPD Program Manager, Nurse Specialist, RN Staff Nurse, Social Worker) were considerably higher than typical averages found in national datasets (MEPS, BLS) or cited studies. While potentially accurate for specific high-cost regions, senior roles, complex cases, or total compensation packages, they do not represent the general average without specific context.</a:t>
          </a:r>
        </a:p>
        <a:p>
          <a:pPr rtl="0" fontAlgn="base"/>
          <a:r>
            <a:rPr lang="en-US" sz="1100" b="1" i="0" u="none" strike="noStrike">
              <a:solidFill>
                <a:schemeClr val="dk1"/>
              </a:solidFill>
              <a:effectLst/>
              <a:latin typeface="+mn-lt"/>
              <a:ea typeface="+mn-ea"/>
              <a:cs typeface="+mn-cs"/>
            </a:rPr>
            <a:t>Currency/Origin</a:t>
          </a:r>
          <a:r>
            <a:rPr lang="en-US" sz="1100" b="0" i="0" u="none" strike="noStrike">
              <a:solidFill>
                <a:schemeClr val="dk1"/>
              </a:solidFill>
              <a:effectLst/>
              <a:latin typeface="+mn-lt"/>
              <a:ea typeface="+mn-ea"/>
              <a:cs typeface="+mn-cs"/>
            </a:rPr>
            <a:t>: The VRE cost figure ($17,949) was verified but originates from a Canadian study and is in Canadian dollars.</a:t>
          </a:r>
        </a:p>
        <a:p>
          <a:pPr rtl="0"/>
          <a:r>
            <a:rPr lang="en-US" sz="1100" b="1" i="0" u="none" strike="noStrike">
              <a:solidFill>
                <a:schemeClr val="dk1"/>
              </a:solidFill>
              <a:effectLst/>
              <a:latin typeface="+mn-lt"/>
              <a:ea typeface="+mn-ea"/>
              <a:cs typeface="+mn-cs"/>
            </a:rPr>
            <a:t>Recommendations for Utilization</a:t>
          </a:r>
          <a:r>
            <a:rPr lang="en-US" sz="1100" b="0" i="0" u="none" strike="noStrike">
              <a:solidFill>
                <a:schemeClr val="dk1"/>
              </a:solidFill>
              <a:effectLst/>
              <a:latin typeface="+mn-lt"/>
              <a:ea typeface="+mn-ea"/>
              <a:cs typeface="+mn-cs"/>
            </a:rPr>
            <a:t>:</a:t>
          </a:r>
          <a:endParaRPr lang="en-US" b="0">
            <a:effectLst/>
          </a:endParaRPr>
        </a:p>
        <a:p>
          <a:pPr rtl="0" fontAlgn="base"/>
          <a:r>
            <a:rPr lang="en-US" sz="1100" b="1" i="0" u="none" strike="noStrike">
              <a:solidFill>
                <a:schemeClr val="dk1"/>
              </a:solidFill>
              <a:effectLst/>
              <a:latin typeface="+mn-lt"/>
              <a:ea typeface="+mn-ea"/>
              <a:cs typeface="+mn-cs"/>
            </a:rPr>
            <a:t>Use Verified Figures with Caution</a:t>
          </a:r>
          <a:r>
            <a:rPr lang="en-US" sz="1100" b="0" i="0" u="none" strike="noStrike">
              <a:solidFill>
                <a:schemeClr val="dk1"/>
              </a:solidFill>
              <a:effectLst/>
              <a:latin typeface="+mn-lt"/>
              <a:ea typeface="+mn-ea"/>
              <a:cs typeface="+mn-cs"/>
            </a:rPr>
            <a:t>: Utilize the verified figures presented in this report, ensuring they are accompanied by the correct citation and contextual information (e.g., year of data, cost definition, population).</a:t>
          </a:r>
        </a:p>
        <a:p>
          <a:pPr rtl="0" fontAlgn="base"/>
          <a:r>
            <a:rPr lang="en-US" sz="1100" b="1" i="0" u="none" strike="noStrike">
              <a:solidFill>
                <a:schemeClr val="dk1"/>
              </a:solidFill>
              <a:effectLst/>
              <a:latin typeface="+mn-lt"/>
              <a:ea typeface="+mn-ea"/>
              <a:cs typeface="+mn-cs"/>
            </a:rPr>
            <a:t>Address Discrepancies</a:t>
          </a:r>
          <a:r>
            <a:rPr lang="en-US" sz="1100" b="0" i="0" u="none" strike="noStrike">
              <a:solidFill>
                <a:schemeClr val="dk1"/>
              </a:solidFill>
              <a:effectLst/>
              <a:latin typeface="+mn-lt"/>
              <a:ea typeface="+mn-ea"/>
              <a:cs typeface="+mn-cs"/>
            </a:rPr>
            <a:t>: For figures marked as discrepancies (e.g., CAUTI, Heart Attack, Pneumonia, specific VPDs), use the verified figures from the cited sources instead, or seek the original source of the user-provided figure to understand its specific context and methodology.</a:t>
          </a:r>
        </a:p>
        <a:p>
          <a:pPr rtl="0" fontAlgn="base"/>
          <a:r>
            <a:rPr lang="en-US" sz="1100" b="1" i="0" u="none" strike="noStrike">
              <a:solidFill>
                <a:schemeClr val="dk1"/>
              </a:solidFill>
              <a:effectLst/>
              <a:latin typeface="+mn-lt"/>
              <a:ea typeface="+mn-ea"/>
              <a:cs typeface="+mn-cs"/>
            </a:rPr>
            <a:t>Seek Clarification for Unverified/Ambiguous Items</a:t>
          </a:r>
          <a:r>
            <a:rPr lang="en-US" sz="1100" b="0" i="0" u="none" strike="noStrike">
              <a:solidFill>
                <a:schemeClr val="dk1"/>
              </a:solidFill>
              <a:effectLst/>
              <a:latin typeface="+mn-lt"/>
              <a:ea typeface="+mn-ea"/>
              <a:cs typeface="+mn-cs"/>
            </a:rPr>
            <a:t>: For items lacking sufficient context or verification (e.g., Anesthesia, Lab, Radiology, Supplies, specific injury costs, program costs, high-end salaries), obtaining the original source or further defining the metric is necessary before use.</a:t>
          </a:r>
        </a:p>
        <a:p>
          <a:pPr rtl="0" fontAlgn="base"/>
          <a:r>
            <a:rPr lang="en-US" sz="1100" b="1" i="0" u="none" strike="noStrike">
              <a:solidFill>
                <a:schemeClr val="dk1"/>
              </a:solidFill>
              <a:effectLst/>
              <a:latin typeface="+mn-lt"/>
              <a:ea typeface="+mn-ea"/>
              <a:cs typeface="+mn-cs"/>
            </a:rPr>
            <a:t>Distinguish Cost Types</a:t>
          </a:r>
          <a:r>
            <a:rPr lang="en-US" sz="1100" b="0" i="0" u="none" strike="noStrike">
              <a:solidFill>
                <a:schemeClr val="dk1"/>
              </a:solidFill>
              <a:effectLst/>
              <a:latin typeface="+mn-lt"/>
              <a:ea typeface="+mn-ea"/>
              <a:cs typeface="+mn-cs"/>
            </a:rPr>
            <a:t>: Be mindful of the difference between cost, charge, direct vs. indirect costs, per-episode vs. annual costs, and treatment-specific vs. incremental costs when applying these figures.</a:t>
          </a:r>
        </a:p>
        <a:p>
          <a:pPr rtl="0"/>
          <a:r>
            <a:rPr lang="en-US" sz="1100" b="0" i="0" u="none" strike="noStrike">
              <a:solidFill>
                <a:schemeClr val="dk1"/>
              </a:solidFill>
              <a:effectLst/>
              <a:latin typeface="+mn-lt"/>
              <a:ea typeface="+mn-ea"/>
              <a:cs typeface="+mn-cs"/>
            </a:rPr>
            <a:t>This verification exercise underscores the complexity of healthcare cost data and the critical importance of understanding the source, methodology, and context behind any specific figure before utilizing it for analysis, modeling, or decision-making.</a:t>
          </a:r>
          <a:endParaRPr lang="en-US" b="0">
            <a:effectLst/>
          </a:endParaRPr>
        </a:p>
        <a:p>
          <a:pPr rtl="0"/>
          <a:endParaRPr lang="en-US" sz="1100" b="1" i="0" u="none" strike="noStrike">
            <a:solidFill>
              <a:schemeClr val="dk1"/>
            </a:solidFill>
            <a:effectLst/>
            <a:latin typeface="+mn-lt"/>
            <a:ea typeface="+mn-ea"/>
            <a:cs typeface="+mn-cs"/>
          </a:endParaRPr>
        </a:p>
        <a:p>
          <a:pPr rtl="0"/>
          <a:r>
            <a:rPr lang="en-US" sz="1100" b="1" i="0" u="none" strike="noStrike">
              <a:solidFill>
                <a:schemeClr val="dk1"/>
              </a:solidFill>
              <a:effectLst/>
              <a:latin typeface="+mn-lt"/>
              <a:ea typeface="+mn-ea"/>
              <a:cs typeface="+mn-cs"/>
            </a:rPr>
            <a:t>Works cited</a:t>
          </a:r>
          <a:endParaRPr lang="en-US" b="1">
            <a:effectLst/>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AHRQ Data Tools – Agency for Healthcare Research and Quality,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https://datatools.ahrq.gov/</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Data &amp; Analytics - | Agency for Healthcare Research and Quality,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https://www.ahrq.gov/data/index.html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Medical Expenditure Panel Survey (MEPS) Household Component (HC) - AHRQ Data Tools,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https://datatools.ahrq.gov/meps-hc/</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Cost and Utilization Project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https://www.ahrq.gov/data/hcup/index.html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Estimating the Additional Hospital Inpatient Cost and Mortality Associated With Selected Hospital-Acquired Conditions - | Agency for Healthcare Research and Quality,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https://www.ahrq.gov/hai/pfp/haccost2017-results.html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Financial impact of health care-associated infections: When money talks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https://pmc.ncbi.nlm.nih.gov/articles/PMC4028670/</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Outbreak of central-line–associated bloodstream infections (CLABSIs) amid the coronavirus disease 2019 (COVID-19) pandemic associated with changes in central-line dressing care accompanying changes in nursing education, nursing documentation, and dressing supply kits - PMC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https://pmc.ncbi.nlm.nih.gov/articles/PMC9021583/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Optimizing validation of central line-associated bloodstream infections - Oregon.gov,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https://www.oregon.gov/oha/PH/DISEASESCONDITIONS/COMMUNICABLEDISEASE/HAI/Documents/CLABSI_poster_FINAL.pdf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Cost-effectiveness of Antimicrobial Lock Solutions for the Prevention of Central Line–Associated Bloodstream Infections - Oxford Academic,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https://academic.oup.com/cid/article-pdf/68/3/419/27512719/ciy511.pdf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 care-associated infections: a meta-analysis of costs and financial impact on the US health care system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https://pubmed.ncbi.nlm.nih.gov/23999949/</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 Care–Associated Infections A Meta-analysis of Costs and Financial Impact on the US Health Care System - Crely Healthcare,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https://www.crely.ai/img/pdf/meta-analysis.pdf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Healthcare-Associated Infection Costs Detailed | HealthLeaders Media,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https://www.healthleadersmedia.com/finance/healthcare-associated-infection-costs-detailed?page=0%2C1</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Costs of health care-associated infections: 9.8 billion annually in US | ScienceDaily,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https://www.sciencedaily.com/releases/2013/09/130902181001.htm</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Study: Hospital infections cost $9.8 billion a year - CBS News,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https://www.cbsnews.com/news/study-hospital-infections-cost-98-billion-a-year/</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Hospital Infections Cost Billions, Study Shows - Medscape,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https://www.medscape.com/viewarticle/810372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attributable cost of catheter-associated urinary tract infections in the United States: A systematic review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https://pubmed.ncbi.nlm.nih.gov/29478760/</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Economic Evaluation of Quality Improvement Interventions to Prevent Catheter-Associated Urinary Tract Infections in the Hospital Setting: A Systematic Review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https://pmc.ncbi.nlm.nih.gov/articles/PMC9134991/</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Economic burden of healthcare-associated infections: an American perspective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https://pmc.ncbi.nlm.nih.gov/articles/PMC2827870/</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Centers for medicare and medicaid services hospital-acquired conditions policy for central line-associated bloodstream infection (CLABSI) and catheter-associated urinary tract infection (CAUTI) shows minimal impact on hospital reimbursement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https://pubmed.ncbi.nlm.nih.gov/29950185/</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Estimating hospital costs of catheter-associated urinary tract infection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https://pubmed.ncbi.nlm.nih.gov/24038833/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Effect of nonpayment for preventable infections in U.S. hospitals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https://pubmed.ncbi.nlm.nih.gov/23050526/</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Impact of a hospital-wide huddle on device utilisation and infection rates: a community hospital's journey to zero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https://pmc.ncbi.nlm.nih.gov/articles/PMC7745585/</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Incidence and impact of surgical site infections on length of stay and cost of care for patients undergoing open procedures,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https://pmc.ncbi.nlm.nih.gov/articles/PMC9679670/</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 analysis of surgical site infections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https://pubmed.ncbi.nlm.nih.gov/16834543/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Costs Associated with Surgical Site Infections in VA Hospitals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https://pmc.ncbi.nlm.nih.gov/articles/PMC7393605/</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business case for preventing ventilator-associated pneumonia in pediatric intensive care unit patients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https://pubmed.ncbi.nlm.nih.gov/19025083/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Economic impact of ventilator-associated pneumonia in a large matched cohort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https://pubmed.ncbi.nlm.nih.gov/22314062/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Attributable Healthcare Resource Utilization and Costs for Patients With Primary and Recurrent Clostridium difficile Infection in the United States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https://pmc.ncbi.nlm.nih.gov/articles/PMC5905590/</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Attributable Healthcare Resource Utilization and Costs for Patients ...,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https://pubmed.ncbi.nlm.nih.gov/29360950/</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Clostridioides difficile Infection - Making Healthcare Safer III: A Critical Analysis of Existing and Emerging Patient Safety Practices - NCBI,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https://www.ncbi.nlm.nih.gov/books/NBK555532/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National Costs Associated With Methicillin-Susceptible and Methicillin-Resistant Staphylococcus aureus Hospitalizations in the United States, 2010–2014,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https://pmc.ncbi.nlm.nih.gov/articles/PMC6293004/</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Hospital-, Health Care-, and Community-Acquired MRSA: Estimates From California Hospitals, 2013 - Healthcare Cost and Utilization Project (HCUP) Statistical Briefs - NCBI,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https://www.ncbi.nlm.nih.gov/books/NBK396238/</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Infections with Methicillin-Resistant Staphylococcus Aureus (MRSA) in U.S. Hospitals, 1993–2005 - Healthcare Cost and Utilization Project (HCUP) Statistical Briefs - NCBI,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https://www.ncbi.nlm.nih.gov/books/NBK61977/</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Hospital-, Health Care-, and Community-Acquired MRSA: Estimates From California Hospitals, 2013 #212 - Hcup- us.ahrq.gov,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https://hcup-us.ahrq.gov/reports/statbriefs/sb212-MRSA-Hospital-Stays-California-2013.jsp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HCUP Statistical Brief #35: Infections with Methicillin-Resistant Staphylococcus Aureus (MRSA) in U.S. Hospitals, 1993–2005,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https://hcup-us.ahrq.gov/reports/statbriefs/sb35.pdf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National Costs Associated With Methicillin-Susceptible and Methicillin-Resistant Staphylococcus aureus Hospitalizations in the United States, 2010–2014 | Clinical Infectious Diseases | Oxford Academic,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https://academic.oup.com/cid/article-abstract/68/1/22/4995458</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Economic analysis of vancomycin-resistant enterococci at a Canadian hospital: assessing attributable cost and length of stay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https://pubmed.ncbi.nlm.nih.gov/23920443/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Attributable Costs of Enterococcal Bloodstream Infections in a Non-Surgical Hospital Cohort - PMC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https://pmc.ncbi.nlm.nih.gov/articles/PMC3608393/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Epidemiology and Outcomes of Vancomycin-Resistant Enterococcus Infections in the U.S. Military Health System - Oxford Academic,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https://academic.oup.com/milmed/article/186/Supplement_1/100/6119441</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Costs of two vancomycin-resistant enterococci outbreaks in an academic hospital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https://pubmed.ncbi.nlm.nih.gov/36714289/</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Surveillance for vancomycin-resistant enterococci: type, rates, costs, and implications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https://pubmed.ncbi.nlm.nih.gov/17006814/</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Potential economic burden of carbapenem-resistant Enterobacteriaceae (CRE) in the United States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https://pmc.ncbi.nlm.nih.gov/articles/PMC5547745/</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Cost-Effectiveness of Competing Treatment Strategies for Clostridium difficile Infection: A Systematic Review,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https://pmc.ncbi.nlm.nih.gov/articles/PMC5869164/</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High-Cost High-Need Patients: The Impact of Reported Penicillin Allergy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https://pmc.ncbi.nlm.nih.gov/articles/PMC7153533/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February 2018 PDF - Anesthesia Patient Safety Foundation,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https://www.apsf.org/wp-content/uploads/newsletters/2018/Feb/pdf/APSF201802.pdf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High Cost of Stage IV Pressure Ulcers - PMC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https://pmc.ncbi.nlm.nih.gov/articles/PMC2950802/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High cost of stage IV pressure ulcers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https://pubmed.ncbi.nlm.nih.gov/20887840/</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Improving Outcomes by Implementing a Pressure Ulcer Prevention Program (PUPP): Going beyond the Basics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https://pmc.ncbi.nlm.nih.gov/articles/PMC4939557/</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Acquired Pressure Ulcers (HAPU) - Maryland Department of Health,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https://health.maryland.gov/ohcq/HOS/Docs/Alerts/alert-v6-n3-winter2009.pdf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Preventing Pressure Ulcers in Hospitals - | Agency for Healthcare Research and Quality,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https://www.ahrq.gov/patient-safety/settings/hospital/resource/pressureulcer/tool/pu1.html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Does Anesthesia Cost? A Complete Breakdown for Patients | Mira Health,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https://www.talktomira.com/post/how-much-anesthesia-costs-without-insurance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Billing for Hospital Anesthesia Services - Sutter Health,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https://www.sutterhealth.org/billing-insurance/costs-and-charges/billing-hospital-anesthesia</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Anesthesia Practices Should Think About Price Transparency,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https://www.anesthesiallc.com/publications/anesthesia-provider-news-ealerts/910-anesthesia-practices-should-think-about-price-transparency</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Does Anesthesia Cost for Surgery? - SleepGuardian,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https://www.mysleepguardian.com/anesthesia-blog/how-much-does-anesthesia-cost-for-surgery/</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Estimated Clinical and Economic Impact through Use of a Novel Blood Collection Device To Reduce Blood Culture Contamination in the Emergency Department: a Cost-Benefit Analysis,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https://pmc.ncbi.nlm.nih.gov/articles/PMC6322461/</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Total estimated net cost savings per blood culture collection... | Download Table - ResearchGate,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https://www.researchgate.net/figure/Total-estimated-net-cost-savings-per-blood-culture-collection-associated-with-routine_tbl1_328490063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Updated Review of Blood Culture Contamination - PMC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https://pmc.ncbi.nlm.nih.gov/articles/PMC1592696/</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Impact of Blood Cultures Drawn by Phlebotomy on Contamination Rates and Health Care Costs in a Hospital Emergency Department - ASM Journals,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https://journals.asm.org/doi/10.1128/jcm.02162-08</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Costs of Emergency Department Visits in the United States, 2017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https://hcup-us.ahrq.gov/reports/statbriefs/sb268-ED-Costs-2017.pdf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Costs of Treat-and-Release Emergency Department Visits in the United States, 2021 -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https://hcup-us.ahrq.gov/reports/statbriefs/sb311-ED-visit-costs-2021.pdf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Infographic: How much does a hospital stay cost? - PeopleKeep,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https://www.peoplekeep.com/blog/infographic-how-much-does-a-hospital-stay-cost</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State-by-State Breakdown - Average Cost of Hospital Stays in the U.S. - North American Community Hub - NCHStats,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https://nchstats.com/average-cost-of-hospital-stays-in-us/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Overview of U.S. Hospital Stays in 2016: Variation by Geographic Region #246 -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https://hcup-us.ahrq.gov/reports/statbriefs/sb246-Geographic-Variation-Hospital-Stays.jsp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Utilization Data - Commonwealth Fund,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https://www.commonwealthfund.org/sites/default/files/2019-06/ROI_Cost_Utilization_Table.pdf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Daily cost of an intensive care unit day: the contribution of mechanical ventilation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https://pubmed.ncbi.nlm.nih.gov/15942342/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Critical Care Statistics | SCCM, accessed April 15, 2025, </a:t>
          </a:r>
          <a:r>
            <a:rPr lang="en-US" sz="1100" b="0" i="0" u="sng" strike="noStrike">
              <a:solidFill>
                <a:schemeClr val="dk1"/>
              </a:solidFill>
              <a:effectLst/>
              <a:latin typeface="+mn-lt"/>
              <a:ea typeface="+mn-ea"/>
              <a:cs typeface="+mn-cs"/>
              <a:hlinkClick xmlns:r="http://schemas.openxmlformats.org/officeDocument/2006/relationships" r:id=""/>
            </a:rPr>
            <a:t>https://sccm.org/communications/critical-care-statistics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Charge Reductions Associated With Shorter Time to Recovery in Septic Shock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https://pmc.ncbi.nlm.nih.gov/articles/PMC6363816/</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Utilization of Intensive Care Services, 2011 #185 -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https://hcup-us.ahrq.gov/reports/statbriefs/sb185-Hospital-Intensive-Care-Units-2011.jsp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Current CDC Vaccine Price List | VFC Program,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https://www.cdc.gov/vaccines-for-children/php/awardees/current-cdc-vaccine-price-list.html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Understanding Costs of Care in the Operating Room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https://pmc.ncbi.nlm.nih.gov/articles/PMC5875376/</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#401: Expenses for Hospital Inpatient Stays, 2010, accessed April 15, 2025, </a:t>
          </a:r>
          <a:r>
            <a:rPr lang="en-US" sz="1100" b="0" i="0" u="sng" strike="noStrike">
              <a:solidFill>
                <a:schemeClr val="dk1"/>
              </a:solidFill>
              <a:effectLst/>
              <a:latin typeface="+mn-lt"/>
              <a:ea typeface="+mn-ea"/>
              <a:cs typeface="+mn-cs"/>
              <a:hlinkClick xmlns:r="http://schemas.openxmlformats.org/officeDocument/2006/relationships" r:id=""/>
            </a:rPr>
            <a:t>https://meps.ahrq.gov/data_files/publications/st401/stat401.shtml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National Inpatient Hospital Costs: The Most Expensive Conditions by Payer, 2017 #261,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https://hcup-us.ahrq.gov/reports/statbriefs/sb261-Most-Expensive-Hospital-Conditions-2017.jsp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National Inpatient Hospital Costs: The Most Expensive Conditions by Payer, 2013 - Healthcare Cost and Utilization Project (HCUP) Statistical Briefs - NCBI,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https://www.ncbi.nlm.nih.gov/books/NBK368492/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#204 -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https://hcup-us.ahrq.gov/reports/statbriefs/sb204-Most-Expensive-Hospital-Conditions.pdf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National Inpatient Hospital Costs: The Most Expensive Conditions by Payer, 2013 #204,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https://hcup-us.ahrq.gov/reports/statbriefs/sb204-Most-Expensive-Hospital-Conditions.jsp?utm_source&amp;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Healthcare Costs of Having a Baby - KFF,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https://www.kff.org/wp-content/uploads/2013/01/whp061207othc.pdf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 Costs Associated with Pregnancy, Childbirth, and Postpartum Care - KFF,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https://www.kff.org/health-costs/issue-brief/health-costs-associated-with-pregnancy-childbirth-and-postpartum-care/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What It Costs to Have a Baby in America: A State-by-State Analysis - Families USA, accessed April 15, 2025, </a:t>
          </a:r>
          <a:r>
            <a:rPr lang="en-US" sz="1100" b="0" i="0" u="sng" strike="noStrike">
              <a:solidFill>
                <a:schemeClr val="dk1"/>
              </a:solidFill>
              <a:effectLst/>
              <a:latin typeface="+mn-lt"/>
              <a:ea typeface="+mn-ea"/>
              <a:cs typeface="+mn-cs"/>
              <a:hlinkClick xmlns:r="http://schemas.openxmlformats.org/officeDocument/2006/relationships" r:id=""/>
            </a:rPr>
            <a:t>https://familiesusa.org/wp-content/uploads/2023/01/People-First-Care_Labor-and-Delivery.pdf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 costs associated with pregnancy, childbirth, and postpartum care,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https://www.healthsystemtracker.org/brief/health-costs-associated-with-pregnancy-childbirth-and-postpartum-care/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#110 - Hcup- us.ahrq.gov,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https://hcup-us.ahrq.gov/reports/statbriefs/sb110.jsp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#146 -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https://hcup-us.ahrq.gov/reports/statbriefs/sb146.jsp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Costs for Hospital Stays in the United States, 2012 #181 - Hcup- us.ahrq.gov,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https://hcup-us.ahrq.gov/reports/statbriefs/sb181-Hospital-Costs-United-States-2012.jsp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Overview of Operating Room Procedures During Inpatient Stays in U.S. Hospitals, 2018 #281 - Hcup- us.ahrq.gov,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https://hcup-us.ahrq.gov/reports/statbriefs/sb281-Operating-Room-Procedures-During-Hospitalization-2018.jsp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MEPS Publication for Household Participants' Corner, accessed April 15, 2025, </a:t>
          </a:r>
          <a:r>
            <a:rPr lang="en-US" sz="1100" b="0" i="0" u="sng" strike="noStrike">
              <a:solidFill>
                <a:schemeClr val="dk1"/>
              </a:solidFill>
              <a:effectLst/>
              <a:latin typeface="+mn-lt"/>
              <a:ea typeface="+mn-ea"/>
              <a:cs typeface="+mn-cs"/>
              <a:hlinkClick xmlns:r="http://schemas.openxmlformats.org/officeDocument/2006/relationships" r:id=""/>
            </a:rPr>
            <a:t>https://meps.ahrq.gov/communication/household_participant_pubs.shtml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#517: Expenses for Office-Based Physician Visits by Specialty and Insurance Type, 2016 - Medical Expenditure Panel Survey,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https://www.meps.ahrq.gov/data_files/publications/st517/stat517.shtml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#276: Attention-Deficit Hyperactivity Disorder (ADHD) in Children, Ages 5-17: Use and Expenditures, 2007, accessed April 15, 2025, </a:t>
          </a:r>
          <a:r>
            <a:rPr lang="en-US" sz="1100" b="0" i="0" u="sng" strike="noStrike">
              <a:solidFill>
                <a:schemeClr val="dk1"/>
              </a:solidFill>
              <a:effectLst/>
              <a:latin typeface="+mn-lt"/>
              <a:ea typeface="+mn-ea"/>
              <a:cs typeface="+mn-cs"/>
              <a:hlinkClick xmlns:r="http://schemas.openxmlformats.org/officeDocument/2006/relationships" r:id=""/>
            </a:rPr>
            <a:t>https://meps.ahrq.gov/data_files/publications/st276/stat276.shtml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Medical Expenditure Panel Survey Publication Details,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https://www.meps.ahrq.gov/mepsweb/data_stats/Pub_ProdResults_Details.jsp?pt=Statistical%20Brief&amp;opt=2&amp;id=942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Medical Expenditures Associated with Attention-Deficit/Hyperactivity Disorder Among Adults in the United States by Age, 2015–2019,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https://pmc.ncbi.nlm.nih.gov/articles/PMC10361917/</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Clinical Conditions With Frequent, Costly Hospital Readmissions by Payer, 2020,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https://hcup-us.ahrq.gov/reports/statbriefs/SB307-508.pdf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Overview of Clinical Conditions With Frequent and Costly Hospital Readmissions by Payer, 2018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https://hcup-us.ahrq.gov/reports/statbriefs/sb278-Conditions-Frequent-Readmissions-By-Payer-2018.pdf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Cost and Utilization Project (HCUP) NRD Notes - AHRQ,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https://hcup-us.ahrq.gov/db/vars/cm_bldloss/nrdnote.jsp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Description: Health care costs (both charges and payments) are collected for all persons for each medical event they experience in the year, including the amount from each payment source. Charges are the dollar amounts asked ("charge") for a service by a health care provider. This is often different from the actual payments made to providers. Expenditure estimates are based on payments, not charges. More specifically, expenditures in MEPS are comprised of direct payments for care provided during the year, including out-of-pocket payments and payments by private insurance, Medicaid, Medicare, and other sources. In addition to the tables, query tool, and publications below, person-level and event-level data files with health care expenditure variables can be downloaded for analysis. - Medical Expenditure Panel Survey Topics - AHRQ, accessed April 15, 2025, </a:t>
          </a:r>
          <a:r>
            <a:rPr lang="en-US" sz="1100" b="0" i="0" u="sng" strike="noStrike">
              <a:solidFill>
                <a:schemeClr val="dk1"/>
              </a:solidFill>
              <a:effectLst/>
              <a:latin typeface="+mn-lt"/>
              <a:ea typeface="+mn-ea"/>
              <a:cs typeface="+mn-cs"/>
              <a:hlinkClick xmlns:r="http://schemas.openxmlformats.org/officeDocument/2006/relationships" r:id=""/>
            </a:rPr>
            <a:t>https://meps.ahrq.gov/mepsweb/data_stats/MEPS_topics.jsp?topicid=5Z-1</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Medical Expenditure Panel Survey Home,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https://meps.ahrq.gov/</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Medical Expenditure Panel Survey (MEPS) | Agency for Healthcare Research and Quality,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https://www.ahrq.gov/data/meps.html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#303: Anxiety and Mood Disorders: Use and Expenditures for Adults 18 and Older, U.S. Civilian Noninstitutionalized Population, 2007, accessed April 15, 2025, </a:t>
          </a:r>
          <a:r>
            <a:rPr lang="en-US" sz="1100" b="0" i="0" u="sng" strike="noStrike">
              <a:solidFill>
                <a:schemeClr val="dk1"/>
              </a:solidFill>
              <a:effectLst/>
              <a:latin typeface="+mn-lt"/>
              <a:ea typeface="+mn-ea"/>
              <a:cs typeface="+mn-cs"/>
              <a:hlinkClick xmlns:r="http://schemas.openxmlformats.org/officeDocument/2006/relationships" r:id=""/>
            </a:rPr>
            <a:t>https://meps.ahrq.gov/data_files/publications/st303/stat303.shtml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Incremental direct medical expenditures associated with anxiety disorders for the U.S. adult population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https://pubmed.ncbi.nlm.nih.gov/24135257/</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cost of treating anxiety: the medical and demographic correlates that impact total medical costs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https://pubmed.ncbi.nlm.nih.gov/16075454/</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#241: Total Medical and Prescription Expenditures by Current Asthma Status and Whether Asthma Daily Preventive,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https://www.meps.ahrq.gov/data_files/publications/st241/stat241.pdf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Economic Burden of Asthma in the United States, 2008–2013 | Annals of the American Thoracic Society,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https://www.atsjournals.org/doi/10.1513/annalsats.201703-259oc</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Medical Expenditures Attributed to Asthma and Chronic Obstructive Pulmonary Disease Among Workers — United States, 2011–2015 | MMWR - CDC,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https://www.cdc.gov/mmwr/volumes/69/wr/mm6926a1.htm</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#472: Top Five Most Costly Conditions among Children, Ages 0-17, 2012: Estimates for the U.S. Civilian Noninstitutionalized Population - Medical Expenditure Panel Survey (MEPS),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https://www.meps.ahrq.gov/data_files/publications/st472/stat472.shtml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Safe Patient Handling Programs: Effectiveness and Cost Savings - OSHA,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https://www.osha.gov/sites/default/files/publications/OSHA3279.pdf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Economic Burden of Bipolar Disorder in the United States: A Systematic Literature Review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https://pmc.ncbi.nlm.nih.gov/articles/PMC7489939/</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Marginal health care expenditures for melanoma care in the United States,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https://www.jmcp.org/doi/10.18553/jmcp.2024.30.12.1364</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#377: Trends in Use and Expenditures for Depression among U.S. Adults Age 18 and Older, Civilian Noninstitutionalized Population, 1999 and 2009,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https://www.meps.ahrq.gov/data_files/publications/st377/stat377.shtml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Trends in Treatment and Spending for Patients Receiving Outpatient Treatment of Depression in the United States, 1998-2015 -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https://pmc.ncbi.nlm.nih.gov/articles/PMC6487900/</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Social and economic cost of eating disorders in the United States: Evidence to inform policy action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https://pubmed.ncbi.nlm.nih.gov/33655603/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Eating disorders in the U.S. Medicare population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https://pmc.ncbi.nlm.nih.gov/articles/PMC8917996/</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Increasing-Burden-of-US-Healthcare-Spending-Attributable-to-Epilepsy-and-Seizures---MEPS--2010-2018, accessed April 15, 2025, </a:t>
          </a:r>
          <a:r>
            <a:rPr lang="en-US" sz="1100" b="0" i="0" u="sng" strike="noStrike">
              <a:solidFill>
                <a:schemeClr val="dk1"/>
              </a:solidFill>
              <a:effectLst/>
              <a:latin typeface="+mn-lt"/>
              <a:ea typeface="+mn-ea"/>
              <a:cs typeface="+mn-cs"/>
              <a:hlinkClick xmlns:r="http://schemas.openxmlformats.org/officeDocument/2006/relationships" r:id=""/>
            </a:rPr>
            <a:t>https://aesnet.org/abstractslisting/increasing-burden-of-us-healthcare-spending-attributable-to-epilepsy-and-seizures---meps--2010-2018</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Drivers of US health care spending for persons with seizures and/or epilepsies, 2010–2018 - CDC stacks,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https://stacks.cdc.gov/view/cdc/153585/cdc_153585_DS1.pdf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Trends in Hospital Risk-Adjusted Mortality for Select Diagnoses by Patient Subgroups, 2000–2007,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https://hcup-us.ahrq.gov/reports/statbriefs/sb98.jsp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Expenditures for Heart Disease among Adults Aged 18 and Older in the U.S. Civilian Noninstitutionalized Population, 2020 - NCBI,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https://www.ncbi.nlm.nih.gov/books/NBK601171/</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Expenditures for Heart Disease among Adults Age 18 and Older in the U.S. Civilian Noninstitutionalized Population, 20, accessed April 15, 2025, </a:t>
          </a:r>
          <a:r>
            <a:rPr lang="en-US" sz="1100" b="0" i="0" u="sng" strike="noStrike">
              <a:solidFill>
                <a:schemeClr val="dk1"/>
              </a:solidFill>
              <a:effectLst/>
              <a:latin typeface="+mn-lt"/>
              <a:ea typeface="+mn-ea"/>
              <a:cs typeface="+mn-cs"/>
              <a:hlinkClick xmlns:r="http://schemas.openxmlformats.org/officeDocument/2006/relationships" r:id=""/>
            </a:rPr>
            <a:t>https://meps.ahrq.gov/data_files/publications/st531/stat531.pdf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 Care Expenditures and Use Associated with Hypertension Among U.S. Adults - CDC stacks,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https://stacks.cdc.gov/view/cdc/170656/cdc_170656_DS1.pdf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 and Economic Benefits of High Blood Pressure Interventions - CDC,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https://www.cdc.gov/nccdphp/priorities/high-blood-pressure.html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Hypertension-Associated Expenditures Among Privately Insured US Adults in 2021,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https://www.ahajournals.org/doi/10.1161/HYPERTENSIONAHA.124.23401</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 Care Use and Expenditures for Influenza, 2016–17 - NCBI,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https://www.ncbi.nlm.nih.gov/books/NBK581173/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Average Annual Health Care Use and Expenditures for Kidney Disease among Adults 18 and Older, U.S. Civil,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https://www.meps.ahrq.gov/data_files/publications/st306/stat306.pdf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Expenditures for Persons with CKD - Annual Data Report | USRDS,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https://usrds-adr.niddk.nih.gov/2022/chronic-kidney-disease/6-healthcare-expenditures-for-persons-with-ckd</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does opioid treatment cost? | National Institute on Drug Abuse (NIDA), accessed April 15, 2025, </a:t>
          </a:r>
          <a:r>
            <a:rPr lang="en-US" sz="1100" b="0" i="0" u="sng" strike="noStrike">
              <a:solidFill>
                <a:schemeClr val="dk1"/>
              </a:solidFill>
              <a:effectLst/>
              <a:latin typeface="+mn-lt"/>
              <a:ea typeface="+mn-ea"/>
              <a:cs typeface="+mn-cs"/>
              <a:hlinkClick xmlns:r="http://schemas.openxmlformats.org/officeDocument/2006/relationships" r:id=""/>
            </a:rPr>
            <a:t>https://nida.nih.gov/publications/research-reports/medications-to-treat-opioid-addiction/how-much-does-opioid-treatment-cost</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Costs Rise as Lupus Disease Activity Increases,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https://www.lupus.org/news/healthcare-costs-rise-as-lupus-disease-activity-increases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Lupus Treatment Can Cost - GoodRx,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https://www.goodrx.com/conditions/lupus/cost-of-treatment</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Utilization and Costs of Systemic Lupus Erythematosus by Disease Severity in the United States | The Journal of Rheumatology,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https://www.jrheum.org/content/48/3/385</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Inpatient Stays Involving Mental and Substance Use Disorders, 2016 - Hcup- us.ahrq.gov,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https://hcup-us.ahrq.gov/reports/statbriefs/sb249-Mental-Substance-Use-Disorder-Hospital-Stays-2016.pdf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Expenditures for Mental Health among Adults, Ages 18-64, 2009-2011,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https://www.meps.ahrq.gov/data_files/publications/st454/stat454.pdf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STATISTICAL BRIEF #440: Expenditures for Treatment of Mental Health Disorders among Children, Ages 5-17, 2009-2011: Estimates for the U.S. Civilian Noninstitutionalized Population, accessed April 15, 2025, </a:t>
          </a:r>
          <a:r>
            <a:rPr lang="en-US" sz="1100" b="0" i="0" u="sng" strike="noStrike">
              <a:solidFill>
                <a:schemeClr val="dk1"/>
              </a:solidFill>
              <a:effectLst/>
              <a:latin typeface="+mn-lt"/>
              <a:ea typeface="+mn-ea"/>
              <a:cs typeface="+mn-cs"/>
              <a:hlinkClick xmlns:r="http://schemas.openxmlformats.org/officeDocument/2006/relationships" r:id=""/>
            </a:rPr>
            <a:t>https://meps.ahrq.gov/data_files/publications/st440/stat440.shtml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Medical Spending Among US Households With Children With a Mental Health Condition Between 2017 and 2021,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https://pmc.ncbi.nlm.nih.gov/articles/PMC10928497/</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Cost-Effectiveness of Comprehensive, Integrated Care for First Episode Psychosis in the NIMH RAISE Early Treatment Program - PMC,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https://pmc.ncbi.nlm.nih.gov/articles/PMC4903057/</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Understanding the relationship between costs and the modified Rankin Scale: A systematic review, multidisciplinary consensus and recommendations for future studies,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https://pmc.ncbi.nlm.nih.gov/articles/PMC5992734/</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Two Decades of Stroke in the United States: A Healthcare Economic Perspective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https://pubmed.ncbi.nlm.nih.gov/38262382/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Hospital Stays for Stroke and Other Cerebrovascular Diseases, 2005 -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https://hcup-us.ahrq.gov/reports/statbriefs/sb51.jsp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expenditure trends among adult stroke patients in the United States, 2011-2020,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https://pubmed.ncbi.nlm.nih.gov/37659191/</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Costs of Emergency Department Visits for Mental and Substance Use Disorders in the United States, 2017 - HCUP, accessed April 15, 2025, </a:t>
          </a:r>
          <a:r>
            <a:rPr lang="en-US" sz="1100" b="0" i="0" u="sng" strike="noStrike">
              <a:solidFill>
                <a:schemeClr val="dk1"/>
              </a:solidFill>
              <a:effectLst/>
              <a:latin typeface="+mn-lt"/>
              <a:ea typeface="+mn-ea"/>
              <a:cs typeface="+mn-cs"/>
              <a:hlinkClick xmlns:r="http://schemas.openxmlformats.org/officeDocument/2006/relationships" r:id=""/>
            </a:rPr>
            <a:t>https://hcup-us.ahrq.gov/reports/statbriefs/sb257-ED-Costs-Mental-Substance-Use-Disorders-2017.jsp</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Absenteeism in the Workplace: Impact, Causes, and Policies - AIHR,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https://www.aihr.com/blog/absenteeism/</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20 Statistics Centered Around Employee Absenteeism [2025] - TeamSense,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https://www.teamsense.com/blog/absenteeism-workplace-statistics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do Needlestick Injuries Cost? A Systematic Review of the Economic Evaluations of Needlestick and Sharps Injuries Among Healthcare Personnel,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https://pmc.ncbi.nlm.nih.gov/articles/PMC4890345/</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do Needlestick Injuries Cost? A Systematic Review of the Economic Evaluations of Needlestick and Sharps Injuries Among Healthcare Personnel | Infection Control &amp; Hospital Epidemiology,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https://www.cambridge.org/core/journals/infection-control-and-hospital-epidemiology/article/how-much-do-needlestick-injuries-cost-a-systematic-review-of-the-economic-evaluations-of-needlestick-and-sharps-injuries-among-healthcare-personnel/3FBB0190E730A12A0D0317C0230A392B</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Uncovering Hidden Costs of Work-related MSDs - WorkCare,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https://workcare.com/uncovering-hidden-costs-of-work-related-msds/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What are the hidden costs of neglecting workplace safety management systems, and how can businesses quantify them using recent studies and statistics from sources like OSHA and NIOSH? - Psicosmart,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https://psico-smart.com/en/blogs/blog-what-are-the-hidden-costs-of-neglecting-workplace-safety-management-sy-189534</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Healthcare - Safe Patient Handling | Occupational Safety and Health Administration,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https://www.osha.gov/healthcare/safe-patient-handling</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Baicker, Cutler &amp; Song: Workplace wellness programs can generate savings - Imbangan,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https://www.imbangan.com/baicker-cutler-song-workplace-wellness-programs-can-generate-savings/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Workplace Wellness Programs Can Generate Savings - ResearchGate,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https://www.researchgate.net/publication/41028132_Workplace_Wellness_Programs_Can_Generate_Savings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Workplace Wellness Programs Can Generate Savings - Public Health LA County, accessed April 15, 2025, </a:t>
          </a:r>
          <a:r>
            <a:rPr lang="en-US" sz="1100" b="0" i="0" u="sng" strike="noStrike">
              <a:solidFill>
                <a:schemeClr val="dk1"/>
              </a:solidFill>
              <a:effectLst/>
              <a:latin typeface="+mn-lt"/>
              <a:ea typeface="+mn-ea"/>
              <a:cs typeface="+mn-cs"/>
              <a:hlinkClick xmlns:r="http://schemas.openxmlformats.org/officeDocument/2006/relationships" r:id=""/>
            </a:rPr>
            <a:t>http://publichealth.lacounty.gov/diabetes/docs/National_DPP_Research_Articles/Baicker_Workplace_Wellness_Programs_Can_Generate_Savings_2010.pdf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Trends in Workplace Violence for Health Care Occupations and Facilities Over the Last 10 Years,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https://www.shepscenter.unc.edu/wp-content/uploads/2025/01/Y10.01_Brief-1.pdf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Workplace Violence in Healthcare: Understanding the Challenge - OSHA,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https://www.osha.gov/sites/default/files/OSHA3826.pdf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OSHA Violence Prevention Program Could Cost Nursing Homes $177 Million, accessed April 15, 2025, </a:t>
          </a:r>
          <a:r>
            <a:rPr lang="en-US" sz="1100" b="0" i="0" u="sng" strike="noStrike">
              <a:solidFill>
                <a:schemeClr val="dk1"/>
              </a:solidFill>
              <a:effectLst/>
              <a:latin typeface="+mn-lt"/>
              <a:ea typeface="+mn-ea"/>
              <a:cs typeface="+mn-cs"/>
              <a:hlinkClick xmlns:r="http://schemas.openxmlformats.org/officeDocument/2006/relationships" r:id=""/>
            </a:rPr>
            <a:t>https://skillednursingnews.com/2023/03/osha-violence-prevention-program-could-cost-nursing-homes-177-million/</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Workplace Violence Prevention Plans in Hospitals (AB 2975) - CA.gov, accessed April 15, 2025, </a:t>
          </a:r>
          <a:r>
            <a:rPr lang="en-US" sz="1100" b="0" i="0" u="sng" strike="noStrike">
              <a:solidFill>
                <a:schemeClr val="dk1"/>
              </a:solidFill>
              <a:effectLst/>
              <a:latin typeface="+mn-lt"/>
              <a:ea typeface="+mn-ea"/>
              <a:cs typeface="+mn-cs"/>
              <a:hlinkClick xmlns:r="http://schemas.openxmlformats.org/officeDocument/2006/relationships" r:id=""/>
            </a:rPr>
            <a:t>https://bcp.dof.ca.gov/2526/FY2526_ORG7350_BCP7918.pdf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Do Nursing Assistants Make? | UMA - Ultimate Medical Academy,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https://www.ultimatemedical.edu/blog/nursing-assistant-pay-information/</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2024–2025 CNA Salary: Figures &amp; Salaries by State - IntelyCare,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https://www.intelycare.com/career-advice/cna-salary-facts-figures-salaries-by-state/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Emergency Medical Technicians - Bureau of Labor Statistics,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https://www.bls.gov/oes/2023/may/oes292042.htm</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29-2040 Emergency Medical Technicians and Paramedics - Bureau of Labor Statistics,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https://www.bls.gov/oes/2019/may/oes292040.htm</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Emergency Medical Technicians and Paramedics - Bureau of Labor Statistics,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https://www.bls.gov/oes/2020/may/oes292040.htm</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Emergency Medical Technicians - Bureau of Labor Statistics,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https://www.bls.gov/oes/2021/may/oes292042.htm</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Emergency Services Technician Paramedic I in Broomfield, Colorado, United States - UCHealth Careers,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https://careers.uchealth.org/jobs/15970931-emergency-services-technician-paramedic-i</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Salary: Healthcare Program Manager in California (Apr, 2025),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https://www.ziprecruiter.com/Salaries/Healthcare-Program-Manager-Salary--in-California</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Senior Project Manager - Johnson &amp; Johnson Careers,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https://www.careers.jnj.com/de-de/jobs/2506234918w/senior-project-manager/</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Nursing Professional Development Specialist Salary in the United States,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https://www.salary.com/research/salary/alternate/nursing-professional-development-specialist-salary</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Nursing Professional Development Specialist Salary in Texas - ZipRecruiter,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https://www.ziprecruiter.com/Salaries/Nursing-Professional-Development-Specialist-Salary--in-Texas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Salary: Clinical Nurse Specialist (Apr, 2025) United States - ZipRecruiter,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https://www.ziprecruiter.com/Salaries/Clinical-Nurse-Specialist-Salary</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Registered Nurses - Bureau of Labor Statistics,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https://www.bls.gov/oes/current/oes291141.htm</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2024–2025 Nurse Salary: Facts, Figures, and RN Salary by State - IntelyCare,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https://www.intelycare.com/career-advice/nurse-salary-facts-figures-and-rn-salary-rates-by-state/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Highest-Paying States and Cities for Social Workers - Psychology.org,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https://www.psychology.org/social-work/highest-paying-states/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Do Social Workers Make? Salary Insights,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https://www.ollusa.edu/blog/how-much-social-workers-make.html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Travel Nursing Bill Rate Explained - Nomadicare,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https://www.nomadicare.com/travel-nursing/what-is-a-fair-bill-rate-for-travel-nurses/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What is the Average Bill Rate for a Travel Nurse? - BluePipes Blog, accessed April 15, 2025, </a:t>
          </a:r>
          <a:r>
            <a:rPr lang="en-US" sz="1100" b="0" i="0" u="sng" strike="noStrike">
              <a:solidFill>
                <a:schemeClr val="dk1"/>
              </a:solidFill>
              <a:effectLst/>
              <a:latin typeface="+mn-lt"/>
              <a:ea typeface="+mn-ea"/>
              <a:cs typeface="+mn-cs"/>
              <a:hlinkClick xmlns:r="http://schemas.openxmlformats.org/officeDocument/2006/relationships" r:id=""/>
            </a:rPr>
            <a:t>https://blog.bluepipes.com/average-bill-rate-travel-nurse/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Detailed Breakdown of a Travel Nursing Pay Package - BluePipes Blog, accessed April 15, 2025, </a:t>
          </a:r>
          <a:r>
            <a:rPr lang="en-US" sz="1100" b="0" i="0" u="sng" strike="noStrike">
              <a:solidFill>
                <a:schemeClr val="dk1"/>
              </a:solidFill>
              <a:effectLst/>
              <a:latin typeface="+mn-lt"/>
              <a:ea typeface="+mn-ea"/>
              <a:cs typeface="+mn-cs"/>
              <a:hlinkClick xmlns:r="http://schemas.openxmlformats.org/officeDocument/2006/relationships" r:id=""/>
            </a:rPr>
            <a:t>https://blog.bluepipes.com/sample-breakdown-of-a-travel-nursing-pay-package/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True Price Tag: Uncovering the Hidden Costs of Travel Nursing Contracts - ShiftMed,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https://www.shiftmed.com/insights/knowledge-center/uncovering-the-hidden-costs-of-travel-nursing-contracts/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2023 NSI National Health Care Retention &amp; RN Staffing Report,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https://www.wpchange.org/resources/2023-nsi-national-health-care-retention-rn-staffing-report</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2022 NSI National Health Care Retention &amp; RN Staffing Report - Emerging Nurse Leader,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https://www.emergingrnleader.com/wp-content/uploads/2022/06/NSI_National_Health_Care_Retention_Report-1.pdf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cost of nurse turnover in 24 numbers | 2025 - Becker's Hospital Review,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https://www.beckershospitalreview.com/finance/the-cost-of-nurse-turnover-in-24-numbers-2025/</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Cost of Nurse Turnover: A Breakdown | IntelyCare,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https://www.intelycare.com/facilities/resources/the-cost-of-nurse-turnover-a-breakdown/</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Enhanced benefits to help reduce nurse turnover - Principal,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https://www.principal.com/businesses/trends-insights/enhanced-benefits-help-reduce-nurse-turnover</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 Multisite Study on a New Graduate Registered Nurse Transition to Practice Program: Return on Investment - NCSBN, accessed April 15, 2025, </a:t>
          </a:r>
          <a:r>
            <a:rPr lang="en-US" sz="1100" b="0" i="0" u="sng" strike="noStrike">
              <a:solidFill>
                <a:schemeClr val="dk1"/>
              </a:solidFill>
              <a:effectLst/>
              <a:latin typeface="+mn-lt"/>
              <a:ea typeface="+mn-ea"/>
              <a:cs typeface="+mn-cs"/>
              <a:hlinkClick xmlns:r="http://schemas.openxmlformats.org/officeDocument/2006/relationships" r:id=""/>
            </a:rPr>
            <a:t>https://ncsbn.org/public-files/ROI.pdf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ANCC Magnet Application and Appraisal Fees | ANA - American Nurses Association,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https://www.nursingworld.org/organizational-programs/magnet/apply/magnet-fees/2022/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Human Milk Sharing: Formal and Informal,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https://www.urmc.rochester.edu/getmedia/f5f17105-2565-4e48-a16a-c0a7172c9bd3/human-milk-sharing-smh-gch.pdf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Why is Donor Milk So Expensive? - Lactation Matters,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https://lactationmatters.org/2013/11/08/why-is-donor-milk-so-expensive/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Paying for Milk | AAP Journal Blogs | American Academy of Pediatrics,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https://publications.aap.org/journal-blogs/blog/4300/Paying-for-Milk</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Milk Banks: How Much Does Breast Milk Cost? - GoodRx,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https://www.goodrx.com/conditions/pregnancy/breast-milk-bank-cost</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to Donate Breastmilk—or Find Donor Milk - Happiest Baby,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https://www.happiestbaby.com/blogs/baby/donate-breastmilk</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Milk Banks &amp; Milk Donor FAQs - Mamava,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https://www.mamava.com/mamava-blog/milk-banks-and-donor-milk-faqs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 of Inpatient Falls and Cost-Benefit Analysis of Implementation of an Evidence-Based Fall Prevention Program - PubMed,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https://pubmed.ncbi.nlm.nih.gov/36662505/</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 of inpatient falls and cost-benefit analysis of implementation of an evidence-based fall prevention program. - AHRQ PSNet,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https://psnet.ahrq.gov/issue/cost-inpatient-falls-and-cost-benefit-analysis-implementation-evidence-based-fall-prevention</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 of inpatient falls and cost-benefit analysis of implementation of an evidence-based fall prevention program. - Patient Safety Network,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https://psnet.ahrq.gov/node/843324/psn-pdf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Inpatient Fall Rates Persist (Part 1): Costs and Potential Solutions - TIDI Products,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https://www.tidiproducts.com/blog/inpatient-fall-rates-persist</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Health Professional Programs - Harmony Retreats,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https://www.harmonyhill.org/health-professional/</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Job Skills Program (JSP) - Workforce Training and Education Coordinating Board,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https://wtb.wa.gov/wp-content/uploads/2022/10/JP-Job-Skills-Program-Expansion.pdf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Funding for Training | Clover Park Technical College,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https://www.cptc.edu/corporate-education/funding-training</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Assessment of the safety and ease of use of the naloxone auto-injector for the reversal of opioid overdose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https://pmc.ncbi.nlm.nih.gov/articles/PMC4806803/</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Expanding Access to Naloxone: A Review of Distribution Strategies - Leonard Davis Institute,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https://ldi.upenn.edu/our-work/research-updates/expanding-access-to-naloxone-a-review-of-distribution-strategies/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Evzio Prices, Coupons, Copay Cards &amp; Patient Assistance - Drugs.com,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https://www.drugs.com/price-guide/evzio</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Kaleo CEO defends Evzio $4,000 price tag on ‚Äô60 Minutes‚Äô,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https://www.hmpgloballearningnetwork.com/site/behavioral/news-item/marketing/kaleo-ceo-defends-evzio-4000-price-tag-60-minutes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Naloxone Prices, Coupons, Copay Cards &amp; Patient Assistance - Drugs.com,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https://www.drugs.com/price-guide/naloxone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Price of Saving a Life: Naloxone's Cost Barrier in the US - Filter, accessed April 15, 2025, </a:t>
          </a:r>
          <a:r>
            <a:rPr lang="en-US" sz="1100" b="0" i="0" u="sng" strike="noStrike">
              <a:solidFill>
                <a:schemeClr val="dk1"/>
              </a:solidFill>
              <a:effectLst/>
              <a:latin typeface="+mn-lt"/>
              <a:ea typeface="+mn-ea"/>
              <a:cs typeface="+mn-cs"/>
              <a:hlinkClick xmlns:r="http://schemas.openxmlformats.org/officeDocument/2006/relationships" r:id=""/>
            </a:rPr>
            <a:t>https://filtermag.org/naloxone-narcan-cost/</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Authorized Generic for EVZIO® (naloxone HCl injection) to be Available at a Reduced List Price of $178 - BioSpace,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https://www.biospace.com/authorized-generic-for-evzio-naloxone-hcl-injection-to-be-available-at-a-reduced-list-price-of-178</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Naloxone Products and Their Pricing in Medicaid, 2010–18: Trends for Opioid Overdose Reversal Drugs - Urban Institute,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https://www.urban.org/sites/default/files/publication/102769/naloxone-products-and-their-pricing-in-medicaid-2010-18.pdf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How Much Does Narcan Cost Over the Counter? - GoodRx,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https://www.goodrx.com/narcan/how-much-is-narcan-otc</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NARCAN Nasal Spray 4 mg, Emergency Treatment of Opioid Overdose, 2 Single-Dose Devices - Amazon.com,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https://www.amazon.com/NARCAN-Emergency-Treatment-Overdose-Single-Dose/dp/B0CDQMYP39</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Narcan Nasal Spray First Aid Kits - School Health,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https://www.schoolhealth.com/narcan-nasal-spray-first-aid-kits</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NARCAN And Overdose Responder Kit Bundle - True Rescue, accessed April 15, 2025, </a:t>
          </a:r>
          <a:r>
            <a:rPr lang="en-US" sz="1100" b="0" i="0" u="sng" strike="noStrike">
              <a:solidFill>
                <a:schemeClr val="dk1"/>
              </a:solidFill>
              <a:effectLst/>
              <a:latin typeface="+mn-lt"/>
              <a:ea typeface="+mn-ea"/>
              <a:cs typeface="+mn-cs"/>
              <a:hlinkClick xmlns:r="http://schemas.openxmlformats.org/officeDocument/2006/relationships" r:id=""/>
            </a:rPr>
            <a:t>https://truerescue.com/products/narcan-nasal-spray-4-mg-responder-kit-bundle</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Modeling The Economic Burden Of Adult Vaccine-Preventable Diseases In The United States | Health Affairs,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https://www.healthaffairs.org/doi/10.1377/hlthaff.2016.0462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A Review of Measles Outbreak Cost Estimates From the United States in the Postelimination Era (2004–2017) - CDC stacks,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https://stacks.cdc.gov/view/cdc/106271/cdc_106271_DS1.pdf</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The Clinical Impact and Cost-effectiveness of Measles-Mumps-Rubella Vaccination to Prevent Measles Importations Among International Travelers From the United States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https://pmc.ncbi.nlm.nih.gov/articles/PMC6603268/</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Cost-effectiveness of pneumococcal conjugate vaccination in immunocompromised adults,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https://pmc.ncbi.nlm.nih.gov/articles/PMC3742552/</a:t>
          </a:r>
          <a:endParaRPr lang="en-US" sz="1100" b="0" i="0" u="none" strike="noStrike">
            <a:solidFill>
              <a:schemeClr val="dk1"/>
            </a:solidFill>
            <a:effectLst/>
            <a:latin typeface="+mn-lt"/>
            <a:ea typeface="+mn-ea"/>
            <a:cs typeface="+mn-cs"/>
          </a:endParaRPr>
        </a:p>
        <a:p>
          <a:pPr marL="228600" indent="-228600" rtl="0" fontAlgn="base">
            <a:buFont typeface="+mj-lt"/>
            <a:buAutoNum type="arabicPeriod"/>
          </a:pPr>
          <a:r>
            <a:rPr lang="en-US" sz="1100" b="0" i="0" u="none" strike="noStrike">
              <a:solidFill>
                <a:schemeClr val="dk1"/>
              </a:solidFill>
              <a:effectLst/>
              <a:latin typeface="+mn-lt"/>
              <a:ea typeface="+mn-ea"/>
              <a:cs typeface="+mn-cs"/>
            </a:rPr>
            <a:t>Decline in Severe Varicella Disease During the United States Varicella Vaccination Program: Hospitalizations and Deaths, 1990–2019 - PubMed Central, accessed April 15, 2025, </a:t>
          </a:r>
          <a:r>
            <a:rPr lang="en-US" sz="1100" b="0" i="0" u="sng" strike="noStrike">
              <a:solidFill>
                <a:schemeClr val="dk1"/>
              </a:solidFill>
              <a:effectLst/>
              <a:latin typeface="+mn-lt"/>
              <a:ea typeface="+mn-ea"/>
              <a:cs typeface="+mn-cs"/>
              <a:hlinkClick xmlns:r="http://schemas.openxmlformats.org/officeDocument/2006/relationships" r:id=""/>
            </a:rPr>
            <a:t>https://pmc.ncbi.nlm.nih.gov/articles/PMC10406340/</a:t>
          </a:r>
          <a:endParaRPr lang="en-US" sz="1100" b="0" i="0" u="none" strike="noStrike">
            <a:solidFill>
              <a:schemeClr val="dk1"/>
            </a:solidFill>
            <a:effectLst/>
            <a:latin typeface="+mn-lt"/>
            <a:ea typeface="+mn-ea"/>
            <a:cs typeface="+mn-cs"/>
          </a:endParaRP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49AE44-1FD3-447A-89C1-229637A8E357}" name="Table22" displayName="Table22" ref="A21:I28" totalsRowShown="0" headerRowDxfId="37" dataDxfId="36">
  <autoFilter ref="A21:I28" xr:uid="{7E49AE44-1FD3-447A-89C1-229637A8E357}"/>
  <tableColumns count="9">
    <tableColumn id="1" xr3:uid="{C73B877E-F1A3-4A11-BB27-A53A8AA0AB1F}" name="Item, Role, Audience, Expense"/>
    <tableColumn id="2" xr3:uid="{DAD4C708-92DD-49D2-B66A-F91AA3BCD3EB}" name="Cost of Item, Wage" dataDxfId="35" dataCellStyle="Currency">
      <calculatedColumnFormula>_xlfn.IFNA(VLOOKUP(A22,'Item Cost Drop Down'!K:L,2, FALSE),"")</calculatedColumnFormula>
    </tableColumn>
    <tableColumn id="3" xr3:uid="{8F5ED02D-142F-439A-8CEE-8E47DE5D8111}" name="Quantity of items/hours" dataDxfId="34"/>
    <tableColumn id="7" xr3:uid="{C69EF802-D468-441B-B202-F12936B07EC9}" name="Count (Indicate number of each role or item)" dataDxfId="33" dataCellStyle="Currency"/>
    <tableColumn id="5" xr3:uid="{58ACF630-5DE4-4AE3-BC67-1BE55272C525}" name="Total Wages" dataDxfId="32">
      <calculatedColumnFormula>Table22[[#This Row],[Cost of Item, Wage]]*Table22[[#This Row],[Quantity of items/hours]]*Table22[[#This Row],[Count (Indicate number of each role or item)]]</calculatedColumnFormula>
    </tableColumn>
    <tableColumn id="4" xr3:uid="{BB037E64-A060-497D-A296-688523C311EC}" name="Total Item Cost" dataDxfId="31">
      <calculatedColumnFormula>Table22[[#This Row],[Cost of Item, Wage]]*Table22[[#This Row],[Quantity of items/hours]]*Table22[[#This Row],[Count (Indicate number of each role or item)]]</calculatedColumnFormula>
    </tableColumn>
    <tableColumn id="11" xr3:uid="{83F05E2F-56A8-4D34-AF3B-54C53A3EBBCD}" name="Expense" dataDxfId="30" dataCellStyle="Currency">
      <calculatedColumnFormula>IF(#REF!="",#REF!,#REF! *#REF!)</calculatedColumnFormula>
    </tableColumn>
    <tableColumn id="12" xr3:uid="{0BD1C9E8-6CEF-40EB-8186-CB7A3DAFB543}" name="Additional Comments" dataDxfId="29"/>
    <tableColumn id="6" xr3:uid="{DF61AFE4-CBC4-428A-9EF6-29A61C2851D5}" name="Citation " dataDxfId="28">
      <calculatedColumnFormula>_xlfn.IFNA(VLOOKUP('Item Cost Drop Down'!N1, Calculator!K:N, 2, FALSE), "")</calculatedColumnFormula>
    </tableColumn>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845E09-E3B0-4B42-AAFE-9C42CB3DDD25}" name="Table223" displayName="Table223" ref="A34:I41" totalsRowShown="0" headerRowDxfId="27" dataDxfId="26">
  <autoFilter ref="A34:I41" xr:uid="{DE845E09-E3B0-4B42-AAFE-9C42CB3DDD25}"/>
  <tableColumns count="9">
    <tableColumn id="1" xr3:uid="{33D2727E-79BE-4F79-8E31-B7D8FBF79C1E}" name="Item, Role, Audience, Expense"/>
    <tableColumn id="2" xr3:uid="{90B74733-A8E3-4D8A-9AFA-816441C03CB8}" name="Cost of Item, Wage" dataDxfId="25" dataCellStyle="Currency">
      <calculatedColumnFormula>_xlfn.IFNA(VLOOKUP(A35,'Item Cost Drop Down'!K:L,2, FALSE),"")</calculatedColumnFormula>
    </tableColumn>
    <tableColumn id="3" xr3:uid="{C737CB47-B999-42A8-9B24-B285845A28F2}" name="Quantity of items/hours" dataDxfId="24"/>
    <tableColumn id="7" xr3:uid="{54631BB3-487A-42E5-B49D-4E134EE553A9}" name="Count (Indicate number of each role or item)" dataDxfId="23" dataCellStyle="Currency"/>
    <tableColumn id="5" xr3:uid="{19BE90DB-9D20-462E-BA35-83A454C0FD5D}" name="Total Wages" dataDxfId="22">
      <calculatedColumnFormula>Table223[[#This Row],[Cost of Item, Wage]]*Table223[[#This Row],[Quantity of items/hours]]*Table223[[#This Row],[Count (Indicate number of each role or item)]]</calculatedColumnFormula>
    </tableColumn>
    <tableColumn id="4" xr3:uid="{830560E9-9545-48DB-B07E-AF39E1F70717}" name="Total Item Cost" dataDxfId="21">
      <calculatedColumnFormula>Table223[[#This Row],[Cost of Item, Wage]]*Table223[[#This Row],[Quantity of items/hours]]*Table223[[#This Row],[Count (Indicate number of each role or item)]]</calculatedColumnFormula>
    </tableColumn>
    <tableColumn id="11" xr3:uid="{AD1C92B7-ACC2-456F-909D-27E28922FBF4}" name="Expense" dataDxfId="20" dataCellStyle="Currency">
      <calculatedColumnFormula>IF(#REF!="",#REF!,#REF! *#REF!)</calculatedColumnFormula>
    </tableColumn>
    <tableColumn id="12" xr3:uid="{7C3A14A5-68D7-4A8A-8317-FFEB362616CE}" name="Additional Comments" dataDxfId="19"/>
    <tableColumn id="6" xr3:uid="{6A2DCDC7-CFD8-43FD-A5D0-16FBD7024E40}" name="Citation" dataDxfId="18">
      <calculatedColumnFormula>_xlfn.IFNA(VLOOKUP(A35,'Item Cost Drop Down'!K:N,4, FALSE),"")</calculatedColumnFormula>
    </tableColumn>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F6683D-22B1-4E79-810C-588C8AB65C78}" name="Table2235" displayName="Table2235" ref="A46:I53" totalsRowShown="0" headerRowDxfId="17" dataDxfId="16">
  <autoFilter ref="A46:I53" xr:uid="{0FF6683D-22B1-4E79-810C-588C8AB65C78}"/>
  <tableColumns count="9">
    <tableColumn id="1" xr3:uid="{9AAE41FE-954B-4A9F-8165-A4886D6215DA}" name="Item, Role, Audience, Expense"/>
    <tableColumn id="2" xr3:uid="{F0AD8351-71C3-49DF-A616-DC192BCA80D8}" name="Cost of Item, Wage" dataDxfId="15" dataCellStyle="Currency">
      <calculatedColumnFormula>_xlfn.IFNA(VLOOKUP(A47,'Item Cost Drop Down'!K:L,2, FALSE),"")</calculatedColumnFormula>
    </tableColumn>
    <tableColumn id="3" xr3:uid="{DDA30629-53F4-43D4-B54A-31EACEBECD93}" name="Quantity of items/hours" dataDxfId="14"/>
    <tableColumn id="7" xr3:uid="{7C386E65-FEDD-4512-9146-BDD339C6F730}" name="Count (Indicate number of each role or item)" dataDxfId="13" dataCellStyle="Currency"/>
    <tableColumn id="5" xr3:uid="{2ACF292E-FDDA-4458-9532-A1244A3D3575}" name="Total Wages" dataDxfId="12">
      <calculatedColumnFormula>Table2235[[#This Row],[Cost of Item, Wage]]*Table2235[[#This Row],[Quantity of items/hours]]*Table2235[[#This Row],[Count (Indicate number of each role or item)]]</calculatedColumnFormula>
    </tableColumn>
    <tableColumn id="4" xr3:uid="{2F2DB291-4579-417D-A14C-157E93AD16FB}" name="Total Item Cost" dataDxfId="11">
      <calculatedColumnFormula>Table2235[[#This Row],[Cost of Item, Wage]]*Table2235[[#This Row],[Quantity of items/hours]]*Table2235[[#This Row],[Count (Indicate number of each role or item)]]</calculatedColumnFormula>
    </tableColumn>
    <tableColumn id="11" xr3:uid="{8E6A8B15-0CFE-4731-9C5D-3687BE62F4DD}" name="Expense" dataDxfId="10" dataCellStyle="Currency">
      <calculatedColumnFormula>IF(#REF!="",#REF!,#REF! *#REF!)</calculatedColumnFormula>
    </tableColumn>
    <tableColumn id="12" xr3:uid="{124C304F-C088-412C-896C-DE249527CAD3}" name="Additional Comments" dataDxfId="9"/>
    <tableColumn id="6" xr3:uid="{A150DE6A-FC62-4C48-BDB8-68BD8E1EBA57}" name="Citation" dataDxfId="8">
      <calculatedColumnFormula>_xlfn.IFNA(VLOOKUP(A47,'Item Cost Drop Down'!K:N,4, FALSE),"")</calculatedColumnFormula>
    </tableColumn>
  </tableColumns>
  <tableStyleInfo name="TableStyleLight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5F3BED-E9F0-4559-9808-FF7FFA536F2F}" name="Table3" displayName="Table3" ref="A1:C97" totalsRowShown="0" headerRowDxfId="7" dataDxfId="5" headerRowBorderDxfId="6" tableBorderDxfId="4" totalsRowBorderDxfId="3">
  <autoFilter ref="A1:C97" xr:uid="{B45F3BED-E9F0-4559-9808-FF7FFA536F2F}"/>
  <tableColumns count="3">
    <tableColumn id="1" xr3:uid="{87201F9B-6D11-4154-AF79-B15DC26FDE1C}" name="Healthcare Item" dataDxfId="2"/>
    <tableColumn id="2" xr3:uid="{0D74F259-3B33-46C2-981D-0DFC4D00F6EF}" name="Expense" dataDxfId="1"/>
    <tableColumn id="3" xr3:uid="{829723A8-483F-480E-BC89-27654400E424}" name="Citation"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nsinursingsolutions.com/Documents/Library/NSI_National_Health_Care_Retention_Report.pdf"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4755A-03D0-4407-A97A-E614D003A398}">
  <dimension ref="A1"/>
  <sheetViews>
    <sheetView tabSelected="1" workbookViewId="0">
      <selection activeCell="Q15" sqref="Q15"/>
    </sheetView>
  </sheetViews>
  <sheetFormatPr defaultRowHeight="16.5"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83EE-D131-4402-8192-1B3C0C4B9688}">
  <sheetPr codeName="Sheet1"/>
  <dimension ref="A1:K115"/>
  <sheetViews>
    <sheetView topLeftCell="A12" zoomScaleNormal="100" workbookViewId="0">
      <selection activeCell="L12" sqref="L12"/>
    </sheetView>
  </sheetViews>
  <sheetFormatPr defaultRowHeight="16.5" x14ac:dyDescent="0.3"/>
  <cols>
    <col min="1" max="1" width="32" customWidth="1"/>
    <col min="2" max="2" width="14.6640625" bestFit="1" customWidth="1"/>
    <col min="3" max="3" width="13.88671875" customWidth="1"/>
    <col min="4" max="4" width="16.6640625" bestFit="1" customWidth="1"/>
    <col min="5" max="5" width="15.44140625" customWidth="1"/>
    <col min="6" max="6" width="15.6640625" style="8" customWidth="1"/>
    <col min="7" max="7" width="15.77734375" style="6" bestFit="1" customWidth="1"/>
    <col min="8" max="8" width="29.109375" style="6" customWidth="1"/>
    <col min="9" max="9" width="16.88671875" style="6" customWidth="1"/>
    <col min="10" max="10" width="13.21875" customWidth="1"/>
    <col min="11" max="11" width="25.109375" customWidth="1"/>
    <col min="12" max="12" width="23.109375" customWidth="1"/>
  </cols>
  <sheetData>
    <row r="1" spans="1:9" x14ac:dyDescent="0.3">
      <c r="A1" s="79" t="s">
        <v>0</v>
      </c>
      <c r="B1" s="79"/>
      <c r="C1" s="79"/>
      <c r="D1" s="79"/>
      <c r="E1" s="79"/>
    </row>
    <row r="2" spans="1:9" x14ac:dyDescent="0.3">
      <c r="A2" s="4" t="s">
        <v>1</v>
      </c>
      <c r="B2" s="80" t="s">
        <v>375</v>
      </c>
      <c r="C2" s="81"/>
      <c r="D2" s="81"/>
      <c r="E2" s="82"/>
    </row>
    <row r="3" spans="1:9" x14ac:dyDescent="0.3">
      <c r="A3" s="4" t="s">
        <v>2</v>
      </c>
      <c r="B3" s="80" t="s">
        <v>373</v>
      </c>
      <c r="C3" s="81"/>
      <c r="D3" s="81"/>
      <c r="E3" s="82"/>
    </row>
    <row r="4" spans="1:9" x14ac:dyDescent="0.3">
      <c r="A4" s="4"/>
      <c r="B4" s="80">
        <v>2025</v>
      </c>
      <c r="C4" s="81"/>
      <c r="D4" s="81"/>
      <c r="E4" s="82"/>
    </row>
    <row r="5" spans="1:9" x14ac:dyDescent="0.3">
      <c r="A5" s="4" t="s">
        <v>111</v>
      </c>
      <c r="B5" s="80" t="s">
        <v>374</v>
      </c>
      <c r="C5" s="81"/>
      <c r="D5" s="81"/>
      <c r="E5" s="82"/>
    </row>
    <row r="6" spans="1:9" ht="15.75" customHeight="1" x14ac:dyDescent="0.3">
      <c r="A6" s="4" t="s">
        <v>3</v>
      </c>
      <c r="B6" s="80"/>
      <c r="C6" s="81"/>
      <c r="D6" s="81"/>
      <c r="E6" s="82"/>
    </row>
    <row r="7" spans="1:9" ht="15.75" customHeight="1" thickBot="1" x14ac:dyDescent="0.35"/>
    <row r="8" spans="1:9" ht="15.75" customHeight="1" x14ac:dyDescent="0.3">
      <c r="A8" s="76" t="s">
        <v>377</v>
      </c>
      <c r="B8" s="77"/>
      <c r="C8" s="77"/>
      <c r="D8" s="78"/>
      <c r="E8" s="35"/>
      <c r="F8" s="35"/>
      <c r="G8" s="35"/>
      <c r="H8" s="35"/>
    </row>
    <row r="9" spans="1:9" s="1" customFormat="1" ht="66" x14ac:dyDescent="0.3">
      <c r="A9" s="39" t="s">
        <v>385</v>
      </c>
      <c r="B9" s="13">
        <f>G28</f>
        <v>206895</v>
      </c>
      <c r="C9" s="2" t="s">
        <v>387</v>
      </c>
      <c r="D9" s="44">
        <f>G28*D11</f>
        <v>206895</v>
      </c>
      <c r="E9" s="35"/>
      <c r="F9" s="35"/>
      <c r="G9" s="35"/>
      <c r="H9" s="35"/>
      <c r="I9" s="7"/>
    </row>
    <row r="10" spans="1:9" ht="49.5" customHeight="1" x14ac:dyDescent="0.3">
      <c r="A10" s="39" t="s">
        <v>386</v>
      </c>
      <c r="B10" s="13">
        <f>G41</f>
        <v>24859.392000000003</v>
      </c>
      <c r="C10" s="3" t="s">
        <v>388</v>
      </c>
      <c r="D10" s="45">
        <f>G41*D11</f>
        <v>24859.392000000003</v>
      </c>
      <c r="E10" s="35"/>
      <c r="F10" s="35"/>
      <c r="G10" s="35"/>
      <c r="H10" s="35"/>
    </row>
    <row r="11" spans="1:9" ht="49.5" x14ac:dyDescent="0.3">
      <c r="A11" s="39" t="s">
        <v>391</v>
      </c>
      <c r="B11" s="14">
        <f>B9-G53</f>
        <v>68965</v>
      </c>
      <c r="C11" s="3" t="s">
        <v>389</v>
      </c>
      <c r="D11" s="40">
        <v>1</v>
      </c>
      <c r="E11" s="35"/>
      <c r="F11" s="35"/>
      <c r="G11" s="35"/>
      <c r="H11" s="35"/>
    </row>
    <row r="12" spans="1:9" ht="82.5" x14ac:dyDescent="0.3">
      <c r="A12" s="41" t="s">
        <v>4</v>
      </c>
      <c r="B12" s="15">
        <f>(B11-B10)/B10</f>
        <v>1.7742030054475986</v>
      </c>
      <c r="C12" s="3" t="s">
        <v>390</v>
      </c>
      <c r="D12" s="46">
        <f>B11-B10</f>
        <v>44105.607999999993</v>
      </c>
      <c r="E12" s="35"/>
      <c r="F12" s="35"/>
      <c r="G12" s="35"/>
      <c r="H12" s="35"/>
    </row>
    <row r="13" spans="1:9" ht="49.5" x14ac:dyDescent="0.3">
      <c r="A13" s="39" t="s">
        <v>117</v>
      </c>
      <c r="B13" s="34">
        <v>12</v>
      </c>
      <c r="C13" s="3" t="s">
        <v>392</v>
      </c>
      <c r="D13" s="47">
        <f>D12/B13*12</f>
        <v>44105.607999999993</v>
      </c>
      <c r="E13" s="35"/>
      <c r="F13" s="35"/>
      <c r="G13" s="35"/>
      <c r="H13" s="35"/>
    </row>
    <row r="14" spans="1:9" ht="33.75" thickBot="1" x14ac:dyDescent="0.35">
      <c r="A14" s="42" t="s">
        <v>122</v>
      </c>
      <c r="B14" s="43"/>
      <c r="C14" s="43"/>
      <c r="D14" s="48">
        <f>ABS(B12)/100%</f>
        <v>1.7742030054475986</v>
      </c>
      <c r="F14" s="35"/>
      <c r="G14" s="35"/>
      <c r="H14" s="35"/>
    </row>
    <row r="15" spans="1:9" ht="17.25" thickBot="1" x14ac:dyDescent="0.35">
      <c r="A15" s="37"/>
      <c r="D15" s="38"/>
      <c r="F15" s="35"/>
      <c r="G15" s="35"/>
      <c r="H15" s="35"/>
    </row>
    <row r="16" spans="1:9" x14ac:dyDescent="0.3">
      <c r="A16" s="67" t="str">
        <f>CONCATENATE("This initiative team has demonstrated a total ROI of ", TEXT(B12,"0.00%"), " with an annual savings of $", TEXT(D13,"#,##0.00"), ". The absence of this intervention could potentially result in an annual deficit of at least $", TEXT(D9,"#,##0.00"), " at MultiCare. For every dollar spent on this initiative, we saved an additional $", TEXT(D14,"#,##0.00"), " in healthcare expenses.")</f>
        <v>This initiative team has demonstrated a total ROI of 177.42% with an annual savings of $44,105.61. The absence of this intervention could potentially result in an annual deficit of at least $206,895.00 at MultiCare. For every dollar spent on this initiative, we saved an additional $1.77 in healthcare expenses.</v>
      </c>
      <c r="B16" s="68"/>
      <c r="C16" s="68"/>
      <c r="D16" s="68"/>
      <c r="E16" s="68"/>
      <c r="F16" s="68"/>
      <c r="G16" s="68"/>
      <c r="H16" s="69"/>
    </row>
    <row r="17" spans="1:11" x14ac:dyDescent="0.3">
      <c r="A17" s="70"/>
      <c r="B17" s="71"/>
      <c r="C17" s="71"/>
      <c r="D17" s="71"/>
      <c r="E17" s="71"/>
      <c r="F17" s="71"/>
      <c r="G17" s="71"/>
      <c r="H17" s="72"/>
    </row>
    <row r="18" spans="1:11" ht="17.25" thickBot="1" x14ac:dyDescent="0.35">
      <c r="A18" s="73"/>
      <c r="B18" s="74"/>
      <c r="C18" s="74"/>
      <c r="D18" s="74"/>
      <c r="E18" s="74"/>
      <c r="F18" s="74"/>
      <c r="G18" s="74"/>
      <c r="H18" s="75"/>
    </row>
    <row r="19" spans="1:11" ht="17.25" thickBot="1" x14ac:dyDescent="0.35"/>
    <row r="20" spans="1:11" ht="17.25" thickBot="1" x14ac:dyDescent="0.35">
      <c r="A20" s="16" t="s">
        <v>383</v>
      </c>
      <c r="B20" s="27"/>
      <c r="C20" s="27"/>
      <c r="D20" s="27"/>
      <c r="E20" s="27"/>
      <c r="F20" s="28"/>
      <c r="G20" s="29"/>
      <c r="H20" s="30"/>
    </row>
    <row r="21" spans="1:11" ht="49.5" x14ac:dyDescent="0.3">
      <c r="A21" s="23" t="s">
        <v>112</v>
      </c>
      <c r="B21" s="23" t="s">
        <v>109</v>
      </c>
      <c r="C21" s="23" t="s">
        <v>107</v>
      </c>
      <c r="D21" s="23" t="s">
        <v>6</v>
      </c>
      <c r="E21" s="23" t="s">
        <v>7</v>
      </c>
      <c r="F21" s="23" t="s">
        <v>110</v>
      </c>
      <c r="G21" s="23" t="s">
        <v>108</v>
      </c>
      <c r="H21" s="5" t="s">
        <v>8</v>
      </c>
      <c r="I21" s="5" t="s">
        <v>123</v>
      </c>
    </row>
    <row r="22" spans="1:11" ht="33" x14ac:dyDescent="0.3">
      <c r="A22" t="s">
        <v>21</v>
      </c>
      <c r="B22" s="25">
        <f>_xlfn.IFNA(VLOOKUP(A22,'Item Cost Drop Down'!K:L,2, FALSE),"")</f>
        <v>13793</v>
      </c>
      <c r="C22" s="24"/>
      <c r="D22">
        <v>15</v>
      </c>
      <c r="E22" s="25" t="str">
        <f>_xlfn.IFNA(IF(VLOOKUP(Table22[[#This Row],[Item, Role, Audience, Expense]],'Item Cost Drop Down'!K:M,3,FALSE)="Role Audience", Table22[[#This Row],[Cost of Item, Wage]]*IF(Table22[[#This Row],[Quantity of items/hours]]="","1",Table22[[#This Row],[Quantity of items/hours]])*IF(Table22[[#This Row],[Count (Indicate number of each role or item)]]="","1",Table22[[#This Row],[Count (Indicate number of each role or item)]]),""),"")</f>
        <v/>
      </c>
      <c r="F22" s="25" t="str">
        <f>_xlfn.IFNA(IF(VLOOKUP(Table22[[#This Row],[Cost of Item, Wage]],'Item Cost Drop Down'!L:N,3,FALSE)="Role Audience", Table22[[#This Row],[Quantity of items/hours]]*IF(Table22[[#This Row],[Count (Indicate number of each role or item)]]="","1",Table22[[#This Row],[Count (Indicate number of each role or item)]])*IF(Table22[[#This Row],[Total Wages]]="","1",Table22[[#This Row],[Total Wages]]),""),"")</f>
        <v/>
      </c>
      <c r="G22" s="25">
        <f>IF(Table22[[#This Row],[Cost of Item, Wage]]="","",Table22[[#This Row],[Cost of Item, Wage]]*IF(Table22[[#This Row],[Quantity of items/hours]]="","1",Table22[[#This Row],[Quantity of items/hours]])*IF(Table22[[#This Row],[Count (Indicate number of each role or item)]]="","1",Table22[[#This Row],[Count (Indicate number of each role or item)]]))</f>
        <v>206895</v>
      </c>
      <c r="H22" s="31" t="s">
        <v>376</v>
      </c>
      <c r="I22" s="51" t="str">
        <f>_xlfn.IFNA(VLOOKUP(A22,'Item Cost Drop Down'!K:N,4, FALSE),"")</f>
        <v>11,69,70,71,72,73,74,75,76</v>
      </c>
      <c r="K22">
        <f>0.3571*50</f>
        <v>17.854999999999997</v>
      </c>
    </row>
    <row r="23" spans="1:11" x14ac:dyDescent="0.3">
      <c r="B23" s="9" t="str">
        <f>_xlfn.IFNA(VLOOKUP(A23,'Item Cost Drop Down'!K:L,2, FALSE),"")</f>
        <v/>
      </c>
      <c r="C23" s="24"/>
      <c r="E23" s="9" t="str">
        <f>_xlfn.IFNA(IF(VLOOKUP(Table22[[#This Row],[Item, Role, Audience, Expense]],'Item Cost Drop Down'!K:M,3,FALSE)="Role Audience", Table22[[#This Row],[Cost of Item, Wage]]*IF(Table22[[#This Row],[Quantity of items/hours]]="","1",Table22[[#This Row],[Quantity of items/hours]])*IF(Table22[[#This Row],[Count (Indicate number of each role or item)]]="","1",Table22[[#This Row],[Count (Indicate number of each role or item)]]),""),"")</f>
        <v/>
      </c>
      <c r="F23" s="9" t="str">
        <f>_xlfn.IFNA(IF(VLOOKUP(Table22[[#This Row],[Item, Role, Audience, Expense]],'Item Cost Drop Down'!K:M,3,FALSE)="Item", Table22[[#This Row],[Cost of Item, Wage]]*IF(Table22[[#This Row],[Quantity of items/hours]]="","1",Table22[[#This Row],[Quantity of items/hours]])*IF(Table22[[#This Row],[Count (Indicate number of each role or item)]]="","1",Table22[[#This Row],[Count (Indicate number of each role or item)]]),""),"")</f>
        <v/>
      </c>
      <c r="G23" s="25" t="str">
        <f>IF(Table22[[#This Row],[Cost of Item, Wage]]="","",Table22[[#This Row],[Cost of Item, Wage]]*IF(Table22[[#This Row],[Quantity of items/hours]]="","1",Table22[[#This Row],[Quantity of items/hours]])*IF(Table22[[#This Row],[Count (Indicate number of each role or item)]]="","1",Table22[[#This Row],[Count (Indicate number of each role or item)]]))</f>
        <v/>
      </c>
      <c r="H23" s="31"/>
      <c r="I23" s="51" t="str">
        <f>_xlfn.IFNA(VLOOKUP(A23,'Item Cost Drop Down'!K:N,4, FALSE),"")</f>
        <v/>
      </c>
    </row>
    <row r="24" spans="1:11" x14ac:dyDescent="0.3">
      <c r="B24" s="9" t="str">
        <f>_xlfn.IFNA(VLOOKUP(A24,'Item Cost Drop Down'!K:L,2, FALSE),"")</f>
        <v/>
      </c>
      <c r="C24" s="24"/>
      <c r="E24" s="9" t="str">
        <f>_xlfn.IFNA(IF(VLOOKUP(Table22[[#This Row],[Item, Role, Audience, Expense]],'Item Cost Drop Down'!K:M,3,FALSE)="Role Audience", Table22[[#This Row],[Cost of Item, Wage]]*IF(Table22[[#This Row],[Quantity of items/hours]]="","1",Table22[[#This Row],[Quantity of items/hours]])*IF(Table22[[#This Row],[Count (Indicate number of each role or item)]]="","1",Table22[[#This Row],[Count (Indicate number of each role or item)]]),""),"")</f>
        <v/>
      </c>
      <c r="F24" s="9" t="str">
        <f>_xlfn.IFNA(IF(VLOOKUP(Table22[[#This Row],[Item, Role, Audience, Expense]],'Item Cost Drop Down'!K:M,3,FALSE)="Item", Table22[[#This Row],[Cost of Item, Wage]]*IF(Table22[[#This Row],[Quantity of items/hours]]="","1",Table22[[#This Row],[Quantity of items/hours]])*IF(Table22[[#This Row],[Count (Indicate number of each role or item)]]="","1",Table22[[#This Row],[Count (Indicate number of each role or item)]]),""),"")</f>
        <v/>
      </c>
      <c r="G24" s="9" t="str">
        <f>IF(Table22[[#This Row],[Cost of Item, Wage]]="","",Table22[[#This Row],[Cost of Item, Wage]]*IF(Table22[[#This Row],[Quantity of items/hours]]="","1",Table22[[#This Row],[Quantity of items/hours]])*IF(Table22[[#This Row],[Count (Indicate number of each role or item)]]="","1",Table22[[#This Row],[Count (Indicate number of each role or item)]]))</f>
        <v/>
      </c>
      <c r="H24" s="31"/>
      <c r="I24" s="51" t="str">
        <f>_xlfn.IFNA(VLOOKUP(A24,'Item Cost Drop Down'!K:N,4, FALSE),"")</f>
        <v/>
      </c>
    </row>
    <row r="25" spans="1:11" x14ac:dyDescent="0.3">
      <c r="B25" s="9" t="str">
        <f>_xlfn.IFNA(VLOOKUP(A25,'Item Cost Drop Down'!K:L,2, FALSE),"")</f>
        <v/>
      </c>
      <c r="C25" s="24"/>
      <c r="E25" s="9" t="str">
        <f>_xlfn.IFNA(IF(VLOOKUP(Table22[[#This Row],[Item, Role, Audience, Expense]],'Item Cost Drop Down'!K:M,3,FALSE)="Role Audience", Table22[[#This Row],[Cost of Item, Wage]]*IF(Table22[[#This Row],[Quantity of items/hours]]="","1",Table22[[#This Row],[Quantity of items/hours]])*IF(Table22[[#This Row],[Count (Indicate number of each role or item)]]="","1",Table22[[#This Row],[Count (Indicate number of each role or item)]]),""),"")</f>
        <v/>
      </c>
      <c r="F25" s="9" t="str">
        <f>_xlfn.IFNA(IF(VLOOKUP(Table22[[#This Row],[Item, Role, Audience, Expense]],'Item Cost Drop Down'!K:M,3,FALSE)="Item", Table22[[#This Row],[Cost of Item, Wage]]*IF(Table22[[#This Row],[Quantity of items/hours]]="","1",Table22[[#This Row],[Quantity of items/hours]])*IF(Table22[[#This Row],[Count (Indicate number of each role or item)]]="","1",Table22[[#This Row],[Count (Indicate number of each role or item)]]),""),"")</f>
        <v/>
      </c>
      <c r="G25" s="9" t="str">
        <f>IF(Table22[[#This Row],[Cost of Item, Wage]]="","",Table22[[#This Row],[Cost of Item, Wage]]*IF(Table22[[#This Row],[Quantity of items/hours]]="","1",Table22[[#This Row],[Quantity of items/hours]])*IF(Table22[[#This Row],[Count (Indicate number of each role or item)]]="","1",Table22[[#This Row],[Count (Indicate number of each role or item)]]))</f>
        <v/>
      </c>
      <c r="H25"/>
      <c r="I25" s="51" t="str">
        <f>_xlfn.IFNA(VLOOKUP(A25,'Item Cost Drop Down'!K:N,4, FALSE),"")</f>
        <v/>
      </c>
    </row>
    <row r="26" spans="1:11" x14ac:dyDescent="0.3">
      <c r="B26" s="25" t="str">
        <f>_xlfn.IFNA(VLOOKUP(A26,'Item Cost Drop Down'!K:L,2, FALSE),"")</f>
        <v/>
      </c>
      <c r="C26" s="24"/>
      <c r="E26" s="25" t="str">
        <f>_xlfn.IFNA(IF(VLOOKUP(Table22[[#This Row],[Item, Role, Audience, Expense]],'Item Cost Drop Down'!K:M,3,FALSE)="Role Audience", Table22[[#This Row],[Cost of Item, Wage]]*IF(Table22[[#This Row],[Quantity of items/hours]]="","1",Table22[[#This Row],[Quantity of items/hours]])*IF(Table22[[#This Row],[Count (Indicate number of each role or item)]]="","1",Table22[[#This Row],[Count (Indicate number of each role or item)]]),""),"")</f>
        <v/>
      </c>
      <c r="F26" s="25" t="str">
        <f>_xlfn.IFNA(IF(VLOOKUP(Table22[[#This Row],[Item, Role, Audience, Expense]],'Item Cost Drop Down'!K:M,3,FALSE)="Item", Table22[[#This Row],[Cost of Item, Wage]]*IF(Table22[[#This Row],[Quantity of items/hours]]="","1",Table22[[#This Row],[Quantity of items/hours]])*IF(Table22[[#This Row],[Count (Indicate number of each role or item)]]="","1",Table22[[#This Row],[Count (Indicate number of each role or item)]]),""),"")</f>
        <v/>
      </c>
      <c r="G26" s="25" t="str">
        <f>IF(Table22[[#This Row],[Cost of Item, Wage]]="","",Table22[[#This Row],[Cost of Item, Wage]]*IF(Table22[[#This Row],[Quantity of items/hours]]="","1",Table22[[#This Row],[Quantity of items/hours]])*IF(Table22[[#This Row],[Count (Indicate number of each role or item)]]="","1",Table22[[#This Row],[Count (Indicate number of each role or item)]]))</f>
        <v/>
      </c>
      <c r="H26"/>
      <c r="I26" s="51" t="str">
        <f>_xlfn.IFNA(VLOOKUP(A26,'Item Cost Drop Down'!K:N,4, FALSE),"")</f>
        <v/>
      </c>
    </row>
    <row r="27" spans="1:11" ht="17.25" thickBot="1" x14ac:dyDescent="0.35">
      <c r="B27" s="9" t="str">
        <f>_xlfn.IFNA(VLOOKUP(A27,'Item Cost Drop Down'!K:L,2, FALSE),"")</f>
        <v/>
      </c>
      <c r="C27" s="24"/>
      <c r="E27" s="9" t="str">
        <f>_xlfn.IFNA(IF(VLOOKUP(Table22[[#This Row],[Item, Role, Audience, Expense]],'Item Cost Drop Down'!K:M,3,FALSE)="Role Audience", Table22[[#This Row],[Cost of Item, Wage]]*IF(Table22[[#This Row],[Quantity of items/hours]]="","1",Table22[[#This Row],[Quantity of items/hours]])*IF(Table22[[#This Row],[Count (Indicate number of each role or item)]]="","1",Table22[[#This Row],[Count (Indicate number of each role or item)]]),""),"")</f>
        <v/>
      </c>
      <c r="F27" s="9" t="str">
        <f>_xlfn.IFNA(IF(VLOOKUP(Table22[[#This Row],[Item, Role, Audience, Expense]],'Item Cost Drop Down'!K:M,3,FALSE)="Item", Table22[[#This Row],[Cost of Item, Wage]]*IF(Table22[[#This Row],[Quantity of items/hours]]="","1",Table22[[#This Row],[Quantity of items/hours]])*IF(Table22[[#This Row],[Count (Indicate number of each role or item)]]="","1",Table22[[#This Row],[Count (Indicate number of each role or item)]]),""),"")</f>
        <v/>
      </c>
      <c r="G27" s="9" t="str">
        <f>IF(Table22[[#This Row],[Cost of Item, Wage]]="","",Table22[[#This Row],[Cost of Item, Wage]]*IF(Table22[[#This Row],[Quantity of items/hours]]="","1",Table22[[#This Row],[Quantity of items/hours]])*IF(Table22[[#This Row],[Count (Indicate number of each role or item)]]="","1",Table22[[#This Row],[Count (Indicate number of each role or item)]]))</f>
        <v/>
      </c>
      <c r="H27"/>
      <c r="I27" s="51" t="str">
        <f>_xlfn.IFNA(VLOOKUP(A27,'Item Cost Drop Down'!K:N,4, FALSE),"")</f>
        <v/>
      </c>
    </row>
    <row r="28" spans="1:11" ht="17.25" thickTop="1" x14ac:dyDescent="0.3">
      <c r="A28" s="10" t="s">
        <v>26</v>
      </c>
      <c r="B28" s="26" t="str">
        <f>_xlfn.IFNA(VLOOKUP(A28,'Item Cost Drop Down'!K:L,2, FALSE),"")</f>
        <v/>
      </c>
      <c r="C28" s="10"/>
      <c r="D28" s="12">
        <f>SUM(D22:D27)</f>
        <v>15</v>
      </c>
      <c r="E28" s="26">
        <f>SUM(E22:E27)</f>
        <v>0</v>
      </c>
      <c r="F28" s="26">
        <f>SUM(F22:F27)</f>
        <v>0</v>
      </c>
      <c r="G28" s="26">
        <f>SUM(G22:G27)</f>
        <v>206895</v>
      </c>
      <c r="H28" s="11"/>
      <c r="I28" s="51" t="str">
        <f>_xlfn.IFNA(VLOOKUP('Item Cost Drop Down'!N7, Calculator!K:N, 2, FALSE), "")</f>
        <v/>
      </c>
    </row>
    <row r="29" spans="1:11" x14ac:dyDescent="0.3">
      <c r="I29"/>
    </row>
    <row r="30" spans="1:11" x14ac:dyDescent="0.3">
      <c r="I30"/>
    </row>
    <row r="31" spans="1:11" x14ac:dyDescent="0.3">
      <c r="I31"/>
    </row>
    <row r="32" spans="1:11" ht="17.25" thickBot="1" x14ac:dyDescent="0.35">
      <c r="I32"/>
    </row>
    <row r="33" spans="1:10" ht="17.25" thickBot="1" x14ac:dyDescent="0.35">
      <c r="A33" s="16" t="s">
        <v>382</v>
      </c>
      <c r="B33" s="27"/>
      <c r="C33" s="27"/>
      <c r="D33" s="27"/>
      <c r="E33" s="27"/>
      <c r="F33" s="28"/>
      <c r="G33" s="29"/>
      <c r="H33" s="30"/>
      <c r="I33"/>
    </row>
    <row r="34" spans="1:10" ht="49.5" x14ac:dyDescent="0.3">
      <c r="A34" s="23" t="s">
        <v>112</v>
      </c>
      <c r="B34" s="23" t="s">
        <v>109</v>
      </c>
      <c r="C34" s="23" t="s">
        <v>107</v>
      </c>
      <c r="D34" s="23" t="s">
        <v>6</v>
      </c>
      <c r="E34" s="23" t="s">
        <v>7</v>
      </c>
      <c r="F34" s="23" t="s">
        <v>110</v>
      </c>
      <c r="G34" s="23" t="s">
        <v>108</v>
      </c>
      <c r="H34" s="23" t="s">
        <v>8</v>
      </c>
      <c r="I34" s="5" t="s">
        <v>124</v>
      </c>
    </row>
    <row r="35" spans="1:10" ht="33" x14ac:dyDescent="0.3">
      <c r="A35" t="s">
        <v>9</v>
      </c>
      <c r="B35" s="25">
        <f>_xlfn.IFNA(VLOOKUP(A35,'Item Cost Drop Down'!K:L,2, FALSE),"")</f>
        <v>74.380800000000008</v>
      </c>
      <c r="C35" s="24">
        <v>2</v>
      </c>
      <c r="D35">
        <v>60</v>
      </c>
      <c r="E35" s="25">
        <f>_xlfn.IFNA(IF(VLOOKUP(Table223[[#This Row],[Item, Role, Audience, Expense]],'Item Cost Drop Down'!K:M,3,FALSE)="Role Audience", Table223[[#This Row],[Cost of Item, Wage]]*IF(Table223[[#This Row],[Quantity of items/hours]]="","1",Table223[[#This Row],[Quantity of items/hours]])*IF(Table223[[#This Row],[Count (Indicate number of each role or item)]]="","1",Table223[[#This Row],[Count (Indicate number of each role or item)]]),""),"")</f>
        <v>8925.6960000000017</v>
      </c>
      <c r="F35" s="9" t="str">
        <f>_xlfn.IFNA(IF(VLOOKUP(Table223[[#This Row],[Item, Role, Audience, Expense]],'Item Cost Drop Down'!K:M,3,FALSE)="Item", Table223[[#This Row],[Cost of Item, Wage]]*IF(Table223[[#This Row],[Quantity of items/hours]]="","1",Table223[[#This Row],[Quantity of items/hours]])*IF(Table223[[#This Row],[Count (Indicate number of each role or item)]]="","1",Table223[[#This Row],[Count (Indicate number of each role or item)]]),""),"")</f>
        <v/>
      </c>
      <c r="G35" s="9">
        <f>IF(Table223[[#This Row],[Cost of Item, Wage]]="","",Table223[[#This Row],[Cost of Item, Wage]]*IF(Table223[[#This Row],[Quantity of items/hours]]="","1",Table223[[#This Row],[Quantity of items/hours]])*IF(Table223[[#This Row],[Count (Indicate number of each role or item)]]="","1",Table223[[#This Row],[Count (Indicate number of each role or item)]]))</f>
        <v>8925.6960000000017</v>
      </c>
      <c r="H35" s="31" t="s">
        <v>379</v>
      </c>
      <c r="I35" s="51" t="str">
        <f>_xlfn.IFNA(VLOOKUP(A35,'Item Cost Drop Down'!K:N,4, FALSE),"")</f>
        <v>244, 245 HP Data</v>
      </c>
    </row>
    <row r="36" spans="1:10" ht="33" x14ac:dyDescent="0.3">
      <c r="A36" t="s">
        <v>16</v>
      </c>
      <c r="B36" s="9">
        <f>_xlfn.IFNA(VLOOKUP(A36,'Item Cost Drop Down'!K:L,2, FALSE),"")</f>
        <v>60.160000000000004</v>
      </c>
      <c r="C36" s="24">
        <v>2</v>
      </c>
      <c r="D36">
        <v>25</v>
      </c>
      <c r="E36" s="9" t="str">
        <f>_xlfn.IFNA(IF(VLOOKUP(Table223[[#This Row],[Item, Role, Audience, Expense]],'Item Cost Drop Down'!K:M,3,FALSE)="Role Audience", Table223[[#This Row],[Cost of Item, Wage]]*IF(Table223[[#This Row],[Quantity of items/hours]]="","1",Table223[[#This Row],[Quantity of items/hours]])*IF(Table223[[#This Row],[Count (Indicate number of each role or item)]]="","1",Table223[[#This Row],[Count (Indicate number of each role or item)]]),""),"")</f>
        <v/>
      </c>
      <c r="F36" s="9">
        <f>_xlfn.IFNA(IF(VLOOKUP(Table223[[#This Row],[Item, Role, Audience, Expense]],'Item Cost Drop Down'!K:M,3,FALSE)="Item", Table223[[#This Row],[Cost of Item, Wage]]*IF(Table223[[#This Row],[Quantity of items/hours]]="","1",Table223[[#This Row],[Quantity of items/hours]])*IF(Table223[[#This Row],[Count (Indicate number of each role or item)]]="","1",Table223[[#This Row],[Count (Indicate number of each role or item)]]),""),"")</f>
        <v>3008</v>
      </c>
      <c r="G36" s="9">
        <f>IF(Table223[[#This Row],[Cost of Item, Wage]]="","",Table223[[#This Row],[Cost of Item, Wage]]*IF(Table223[[#This Row],[Quantity of items/hours]]="","1",Table223[[#This Row],[Quantity of items/hours]])*IF(Table223[[#This Row],[Count (Indicate number of each role or item)]]="","1",Table223[[#This Row],[Count (Indicate number of each role or item)]]))</f>
        <v>3008</v>
      </c>
      <c r="H36" s="31" t="s">
        <v>378</v>
      </c>
      <c r="I36" s="51" t="str">
        <f>_xlfn.IFNA(VLOOKUP(A36,'Item Cost Drop Down'!K:N,4, FALSE),"")</f>
        <v>227, 228</v>
      </c>
    </row>
    <row r="37" spans="1:10" x14ac:dyDescent="0.3">
      <c r="A37" t="s">
        <v>9</v>
      </c>
      <c r="B37" s="9">
        <f>_xlfn.IFNA(VLOOKUP(A37,'Item Cost Drop Down'!K:L,2, FALSE),"")</f>
        <v>74.380800000000008</v>
      </c>
      <c r="C37" s="36">
        <v>2</v>
      </c>
      <c r="D37">
        <v>60</v>
      </c>
      <c r="E37" s="9">
        <f>_xlfn.IFNA(IF(VLOOKUP(Table223[[#This Row],[Item, Role, Audience, Expense]],'Item Cost Drop Down'!K:M,3,FALSE)="Role Audience", Table223[[#This Row],[Cost of Item, Wage]]*IF(Table223[[#This Row],[Quantity of items/hours]]="","1",Table223[[#This Row],[Quantity of items/hours]])*IF(Table223[[#This Row],[Count (Indicate number of each role or item)]]="","1",Table223[[#This Row],[Count (Indicate number of each role or item)]]),""),"")</f>
        <v>8925.6960000000017</v>
      </c>
      <c r="F37" s="9" t="str">
        <f>_xlfn.IFNA(IF(VLOOKUP(Table223[[#This Row],[Item, Role, Audience, Expense]],'Item Cost Drop Down'!K:M,3,FALSE)="Item", Table223[[#This Row],[Cost of Item, Wage]]*IF(Table223[[#This Row],[Quantity of items/hours]]="","1",Table223[[#This Row],[Quantity of items/hours]])*IF(Table223[[#This Row],[Count (Indicate number of each role or item)]]="","1",Table223[[#This Row],[Count (Indicate number of each role or item)]]),""),"")</f>
        <v/>
      </c>
      <c r="G37" s="9">
        <f>IF(Table223[[#This Row],[Cost of Item, Wage]]="","",Table223[[#This Row],[Cost of Item, Wage]]*IF(Table223[[#This Row],[Quantity of items/hours]]="","1",Table223[[#This Row],[Quantity of items/hours]])*IF(Table223[[#This Row],[Count (Indicate number of each role or item)]]="","1",Table223[[#This Row],[Count (Indicate number of each role or item)]]))</f>
        <v>8925.6960000000017</v>
      </c>
      <c r="H37" s="31" t="s">
        <v>372</v>
      </c>
      <c r="I37" s="51" t="str">
        <f>_xlfn.IFNA(VLOOKUP(A37,'Item Cost Drop Down'!K:N,4, FALSE),"")</f>
        <v>244, 245 HP Data</v>
      </c>
    </row>
    <row r="38" spans="1:10" x14ac:dyDescent="0.3">
      <c r="A38" t="s">
        <v>113</v>
      </c>
      <c r="B38" s="9">
        <f>_xlfn.IFNA(VLOOKUP(A38,'Item Cost Drop Down'!K:L,2, FALSE),"")</f>
        <v>4000</v>
      </c>
      <c r="C38" s="36"/>
      <c r="D38">
        <v>1</v>
      </c>
      <c r="E38" s="9" t="str">
        <f>_xlfn.IFNA(IF(VLOOKUP(Table223[[#This Row],[Item, Role, Audience, Expense]],'Item Cost Drop Down'!K:M,3,FALSE)="Role Audience", Table223[[#This Row],[Cost of Item, Wage]]*IF(Table223[[#This Row],[Quantity of items/hours]]="","1",Table223[[#This Row],[Quantity of items/hours]])*IF(Table223[[#This Row],[Count (Indicate number of each role or item)]]="","1",Table223[[#This Row],[Count (Indicate number of each role or item)]]),""),"")</f>
        <v/>
      </c>
      <c r="F38" s="9">
        <f>_xlfn.IFNA(IF(VLOOKUP(Table223[[#This Row],[Item, Role, Audience, Expense]],'Item Cost Drop Down'!K:M,3,FALSE)="Item", Table223[[#This Row],[Cost of Item, Wage]]*IF(Table223[[#This Row],[Quantity of items/hours]]="","1",Table223[[#This Row],[Quantity of items/hours]])*IF(Table223[[#This Row],[Count (Indicate number of each role or item)]]="","1",Table223[[#This Row],[Count (Indicate number of each role or item)]]),""),"")</f>
        <v>4000</v>
      </c>
      <c r="G38" s="9">
        <f>IF(Table223[[#This Row],[Cost of Item, Wage]]="","",Table223[[#This Row],[Cost of Item, Wage]]*IF(Table223[[#This Row],[Quantity of items/hours]]="","1",Table223[[#This Row],[Quantity of items/hours]])*IF(Table223[[#This Row],[Count (Indicate number of each role or item)]]="","1",Table223[[#This Row],[Count (Indicate number of each role or item)]]))</f>
        <v>4000</v>
      </c>
      <c r="H38" s="31" t="s">
        <v>381</v>
      </c>
      <c r="I38" s="51">
        <f>_xlfn.IFNA(VLOOKUP(A38,'Item Cost Drop Down'!K:N,4, FALSE),"")</f>
        <v>0</v>
      </c>
      <c r="J38">
        <f>0.52*22</f>
        <v>11.440000000000001</v>
      </c>
    </row>
    <row r="39" spans="1:10" x14ac:dyDescent="0.3">
      <c r="B39" s="25" t="str">
        <f>_xlfn.IFNA(VLOOKUP(A39,'Item Cost Drop Down'!K:L,2, FALSE),"")</f>
        <v/>
      </c>
      <c r="C39" s="36"/>
      <c r="E39" s="25" t="str">
        <f>_xlfn.IFNA(IF(VLOOKUP(Table223[[#This Row],[Item, Role, Audience, Expense]],'Item Cost Drop Down'!K:M,3,FALSE)="Role Audience", Table223[[#This Row],[Cost of Item, Wage]]*IF(Table223[[#This Row],[Quantity of items/hours]]="","1",Table223[[#This Row],[Quantity of items/hours]])*IF(Table223[[#This Row],[Count (Indicate number of each role or item)]]="","1",Table223[[#This Row],[Count (Indicate number of each role or item)]]),""),"")</f>
        <v/>
      </c>
      <c r="F39" s="25" t="str">
        <f>_xlfn.IFNA(IF(VLOOKUP(Table223[[#This Row],[Item, Role, Audience, Expense]],'Item Cost Drop Down'!K:M,3,FALSE)="Item", Table223[[#This Row],[Cost of Item, Wage]]*IF(Table223[[#This Row],[Quantity of items/hours]]="","1",Table223[[#This Row],[Quantity of items/hours]])*IF(Table223[[#This Row],[Count (Indicate number of each role or item)]]="","1",Table223[[#This Row],[Count (Indicate number of each role or item)]]),""),"")</f>
        <v/>
      </c>
      <c r="G39" s="25" t="str">
        <f>IF(Table223[[#This Row],[Cost of Item, Wage]]="","",Table223[[#This Row],[Cost of Item, Wage]]*IF(Table223[[#This Row],[Quantity of items/hours]]="","1",Table223[[#This Row],[Quantity of items/hours]])*IF(Table223[[#This Row],[Count (Indicate number of each role or item)]]="","1",Table223[[#This Row],[Count (Indicate number of each role or item)]]))</f>
        <v/>
      </c>
      <c r="H39"/>
      <c r="I39" s="51" t="str">
        <f>_xlfn.IFNA(VLOOKUP(A39,'Item Cost Drop Down'!K:N,4, FALSE),"")</f>
        <v/>
      </c>
    </row>
    <row r="40" spans="1:10" ht="17.25" thickBot="1" x14ac:dyDescent="0.35">
      <c r="B40" s="9" t="str">
        <f>_xlfn.IFNA(VLOOKUP(A40,'Item Cost Drop Down'!K:L,2, FALSE),"")</f>
        <v/>
      </c>
      <c r="C40" s="24"/>
      <c r="E40" s="9" t="str">
        <f>_xlfn.IFNA(IF(VLOOKUP(Table223[[#This Row],[Item, Role, Audience, Expense]],'Item Cost Drop Down'!K:M,3,FALSE)="Role Audience", Table223[[#This Row],[Cost of Item, Wage]]*IF(Table223[[#This Row],[Quantity of items/hours]]="","1",Table223[[#This Row],[Quantity of items/hours]])*IF(Table223[[#This Row],[Count (Indicate number of each role or item)]]="","1",Table223[[#This Row],[Count (Indicate number of each role or item)]]),""),"")</f>
        <v/>
      </c>
      <c r="F40" s="9" t="str">
        <f>_xlfn.IFNA(IF(VLOOKUP(Table223[[#This Row],[Item, Role, Audience, Expense]],'Item Cost Drop Down'!K:M,3,FALSE)="Item", Table223[[#This Row],[Cost of Item, Wage]]*IF(Table223[[#This Row],[Quantity of items/hours]]="","1",Table223[[#This Row],[Quantity of items/hours]])*IF(Table223[[#This Row],[Count (Indicate number of each role or item)]]="","1",Table223[[#This Row],[Count (Indicate number of each role or item)]]),""),"")</f>
        <v/>
      </c>
      <c r="G40" s="9" t="str">
        <f>IF(Table223[[#This Row],[Cost of Item, Wage]]="","",Table223[[#This Row],[Cost of Item, Wage]]*IF(Table223[[#This Row],[Quantity of items/hours]]="","1",Table223[[#This Row],[Quantity of items/hours]])*IF(Table223[[#This Row],[Count (Indicate number of each role or item)]]="","1",Table223[[#This Row],[Count (Indicate number of each role or item)]]))</f>
        <v/>
      </c>
      <c r="H40"/>
      <c r="I40" s="51" t="str">
        <f>_xlfn.IFNA(VLOOKUP(A40,'Item Cost Drop Down'!K:N,4, FALSE),"")</f>
        <v/>
      </c>
    </row>
    <row r="41" spans="1:10" ht="17.25" thickTop="1" x14ac:dyDescent="0.3">
      <c r="A41" s="10" t="s">
        <v>26</v>
      </c>
      <c r="B41" s="26" t="str">
        <f>_xlfn.IFNA(VLOOKUP(A41,'Item Cost Drop Down'!K:L,2, FALSE),"")</f>
        <v/>
      </c>
      <c r="C41" s="10"/>
      <c r="D41" s="12">
        <f>SUM(D35:D40)</f>
        <v>146</v>
      </c>
      <c r="E41" s="26">
        <f>SUM(E35:E40)</f>
        <v>17851.392000000003</v>
      </c>
      <c r="F41" s="26">
        <f>SUM(F35:F40)</f>
        <v>7008</v>
      </c>
      <c r="G41" s="26">
        <f>SUM(G35:G40)</f>
        <v>24859.392000000003</v>
      </c>
      <c r="H41" s="11"/>
      <c r="I41" s="51" t="str">
        <f>_xlfn.IFNA(VLOOKUP(A41,'Item Cost Drop Down'!K:N,4, FALSE),"")</f>
        <v/>
      </c>
    </row>
    <row r="42" spans="1:10" x14ac:dyDescent="0.3">
      <c r="I42"/>
    </row>
    <row r="43" spans="1:10" x14ac:dyDescent="0.3">
      <c r="I43"/>
    </row>
    <row r="44" spans="1:10" ht="17.25" thickBot="1" x14ac:dyDescent="0.35">
      <c r="I44"/>
    </row>
    <row r="45" spans="1:10" ht="17.25" thickBot="1" x14ac:dyDescent="0.35">
      <c r="A45" s="16" t="s">
        <v>384</v>
      </c>
      <c r="B45" s="27"/>
      <c r="C45" s="27"/>
      <c r="D45" s="27"/>
      <c r="E45" s="27"/>
      <c r="F45" s="28"/>
      <c r="G45" s="29"/>
      <c r="H45" s="30"/>
      <c r="I45"/>
    </row>
    <row r="46" spans="1:10" ht="49.5" x14ac:dyDescent="0.3">
      <c r="A46" s="23" t="s">
        <v>112</v>
      </c>
      <c r="B46" s="23" t="s">
        <v>109</v>
      </c>
      <c r="C46" s="23" t="s">
        <v>107</v>
      </c>
      <c r="D46" s="23" t="s">
        <v>6</v>
      </c>
      <c r="E46" s="23" t="s">
        <v>7</v>
      </c>
      <c r="F46" s="23" t="s">
        <v>110</v>
      </c>
      <c r="G46" s="23" t="s">
        <v>108</v>
      </c>
      <c r="H46" s="5" t="s">
        <v>8</v>
      </c>
      <c r="I46" s="5" t="s">
        <v>124</v>
      </c>
    </row>
    <row r="47" spans="1:10" ht="33" x14ac:dyDescent="0.3">
      <c r="A47" t="s">
        <v>21</v>
      </c>
      <c r="B47" s="25">
        <f>_xlfn.IFNA(VLOOKUP(A47,'Item Cost Drop Down'!K:L,2, FALSE),"")</f>
        <v>13793</v>
      </c>
      <c r="C47" s="24"/>
      <c r="D47">
        <v>10</v>
      </c>
      <c r="E47" s="25" t="str">
        <f>_xlfn.IFNA(IF(VLOOKUP(Table2235[[#This Row],[Item, Role, Audience, Expense]],'Item Cost Drop Down'!K:M,3,FALSE)="Role Audience", Table2235[[#This Row],[Cost of Item, Wage]]*IF(Table2235[[#This Row],[Quantity of items/hours]]="","1",Table2235[[#This Row],[Quantity of items/hours]])*IF(Table2235[[#This Row],[Count (Indicate number of each role or item)]]="","1",Table2235[[#This Row],[Count (Indicate number of each role or item)]]),""),"")</f>
        <v/>
      </c>
      <c r="F47" s="9">
        <f>_xlfn.IFNA(IF(VLOOKUP(Table2235[[#This Row],[Item, Role, Audience, Expense]],'Item Cost Drop Down'!K:M,3,FALSE)="Item", Table2235[[#This Row],[Cost of Item, Wage]]*IF(Table2235[[#This Row],[Quantity of items/hours]]="","1",Table2235[[#This Row],[Quantity of items/hours]])*IF(Table2235[[#This Row],[Count (Indicate number of each role or item)]]="","1",Table2235[[#This Row],[Count (Indicate number of each role or item)]]),""),"")</f>
        <v>137930</v>
      </c>
      <c r="G47" s="9">
        <f>IF(Table2235[[#This Row],[Cost of Item, Wage]]="","",Table2235[[#This Row],[Cost of Item, Wage]]*IF(Table2235[[#This Row],[Quantity of items/hours]]="","1",Table2235[[#This Row],[Quantity of items/hours]])*IF(Table2235[[#This Row],[Count (Indicate number of each role or item)]]="","1",Table2235[[#This Row],[Count (Indicate number of each role or item)]]))</f>
        <v>137930</v>
      </c>
      <c r="H47" s="31" t="s">
        <v>380</v>
      </c>
      <c r="I47" s="51" t="str">
        <f>_xlfn.IFNA(VLOOKUP(A47,'Item Cost Drop Down'!K:N,4, FALSE),"")</f>
        <v>11,69,70,71,72,73,74,75,76</v>
      </c>
    </row>
    <row r="48" spans="1:10" x14ac:dyDescent="0.3">
      <c r="B48" s="9" t="str">
        <f>_xlfn.IFNA(VLOOKUP(A48,'Item Cost Drop Down'!K:L,2, FALSE),"")</f>
        <v/>
      </c>
      <c r="C48" s="24"/>
      <c r="E48" s="9" t="str">
        <f>_xlfn.IFNA(IF(VLOOKUP(Table2235[[#This Row],[Item, Role, Audience, Expense]],'Item Cost Drop Down'!K:M,3,FALSE)="Role Audience", Table2235[[#This Row],[Cost of Item, Wage]]*IF(Table2235[[#This Row],[Quantity of items/hours]]="","1",Table2235[[#This Row],[Quantity of items/hours]])*IF(Table2235[[#This Row],[Count (Indicate number of each role or item)]]="","1",Table2235[[#This Row],[Count (Indicate number of each role or item)]]),""),"")</f>
        <v/>
      </c>
      <c r="F48" s="9" t="str">
        <f>_xlfn.IFNA(IF(VLOOKUP(Table2235[[#This Row],[Item, Role, Audience, Expense]],'Item Cost Drop Down'!K:M,3,FALSE)="Item", Table2235[[#This Row],[Cost of Item, Wage]]*IF(Table2235[[#This Row],[Quantity of items/hours]]="","1",Table2235[[#This Row],[Quantity of items/hours]])*IF(Table2235[[#This Row],[Count (Indicate number of each role or item)]]="","1",Table2235[[#This Row],[Count (Indicate number of each role or item)]]),""),"")</f>
        <v/>
      </c>
      <c r="G48" s="9" t="str">
        <f>IF(Table2235[[#This Row],[Cost of Item, Wage]]="","",Table2235[[#This Row],[Cost of Item, Wage]]*IF(Table2235[[#This Row],[Quantity of items/hours]]="","1",Table2235[[#This Row],[Quantity of items/hours]])*IF(Table2235[[#This Row],[Count (Indicate number of each role or item)]]="","1",Table2235[[#This Row],[Count (Indicate number of each role or item)]]))</f>
        <v/>
      </c>
      <c r="H48" s="31"/>
      <c r="I48" s="51" t="str">
        <f>_xlfn.IFNA(VLOOKUP(A48,'Item Cost Drop Down'!K:N,4, FALSE),"")</f>
        <v/>
      </c>
    </row>
    <row r="49" spans="1:9" x14ac:dyDescent="0.3">
      <c r="B49" s="9" t="str">
        <f>_xlfn.IFNA(VLOOKUP(A49,'Item Cost Drop Down'!K:L,2, FALSE),"")</f>
        <v/>
      </c>
      <c r="C49" s="36"/>
      <c r="E49" s="9" t="str">
        <f>_xlfn.IFNA(IF(VLOOKUP(Table2235[[#This Row],[Item, Role, Audience, Expense]],'Item Cost Drop Down'!K:M,3,FALSE)="Role Audience", Table2235[[#This Row],[Cost of Item, Wage]]*IF(Table2235[[#This Row],[Quantity of items/hours]]="","1",Table2235[[#This Row],[Quantity of items/hours]])*IF(Table2235[[#This Row],[Count (Indicate number of each role or item)]]="","1",Table2235[[#This Row],[Count (Indicate number of each role or item)]]),""),"")</f>
        <v/>
      </c>
      <c r="F49" s="9" t="str">
        <f>_xlfn.IFNA(IF(VLOOKUP(Table2235[[#This Row],[Item, Role, Audience, Expense]],'Item Cost Drop Down'!K:M,3,FALSE)="Item", Table2235[[#This Row],[Cost of Item, Wage]]*IF(Table2235[[#This Row],[Quantity of items/hours]]="","1",Table2235[[#This Row],[Quantity of items/hours]])*IF(Table2235[[#This Row],[Count (Indicate number of each role or item)]]="","1",Table2235[[#This Row],[Count (Indicate number of each role or item)]]),""),"")</f>
        <v/>
      </c>
      <c r="G49" s="9" t="str">
        <f>IF(Table2235[[#This Row],[Cost of Item, Wage]]="","",Table2235[[#This Row],[Cost of Item, Wage]]*IF(Table2235[[#This Row],[Quantity of items/hours]]="","1",Table2235[[#This Row],[Quantity of items/hours]])*IF(Table2235[[#This Row],[Count (Indicate number of each role or item)]]="","1",Table2235[[#This Row],[Count (Indicate number of each role or item)]]))</f>
        <v/>
      </c>
      <c r="H49" s="31"/>
      <c r="I49" s="51" t="str">
        <f>_xlfn.IFNA(VLOOKUP(A49,'Item Cost Drop Down'!K:N,4, FALSE),"")</f>
        <v/>
      </c>
    </row>
    <row r="50" spans="1:9" x14ac:dyDescent="0.3">
      <c r="B50" s="9" t="str">
        <f>_xlfn.IFNA(VLOOKUP(A50,'Item Cost Drop Down'!K:L,2, FALSE),"")</f>
        <v/>
      </c>
      <c r="C50" s="36"/>
      <c r="E50" s="9" t="str">
        <f>_xlfn.IFNA(IF(VLOOKUP(Table2235[[#This Row],[Item, Role, Audience, Expense]],'Item Cost Drop Down'!K:M,3,FALSE)="Role Audience", Table2235[[#This Row],[Cost of Item, Wage]]*IF(Table2235[[#This Row],[Quantity of items/hours]]="","1",Table2235[[#This Row],[Quantity of items/hours]])*IF(Table2235[[#This Row],[Count (Indicate number of each role or item)]]="","1",Table2235[[#This Row],[Count (Indicate number of each role or item)]]),""),"")</f>
        <v/>
      </c>
      <c r="F50" s="9" t="str">
        <f>_xlfn.IFNA(IF(VLOOKUP(Table2235[[#This Row],[Item, Role, Audience, Expense]],'Item Cost Drop Down'!K:M,3,FALSE)="Item", Table2235[[#This Row],[Cost of Item, Wage]]*IF(Table2235[[#This Row],[Quantity of items/hours]]="","1",Table2235[[#This Row],[Quantity of items/hours]])*IF(Table2235[[#This Row],[Count (Indicate number of each role or item)]]="","1",Table2235[[#This Row],[Count (Indicate number of each role or item)]]),""),"")</f>
        <v/>
      </c>
      <c r="G50" s="9" t="str">
        <f>IF(Table2235[[#This Row],[Cost of Item, Wage]]="","",Table2235[[#This Row],[Cost of Item, Wage]]*IF(Table2235[[#This Row],[Quantity of items/hours]]="","1",Table2235[[#This Row],[Quantity of items/hours]])*IF(Table2235[[#This Row],[Count (Indicate number of each role or item)]]="","1",Table2235[[#This Row],[Count (Indicate number of each role or item)]]))</f>
        <v/>
      </c>
      <c r="H50" s="31"/>
      <c r="I50" s="51" t="str">
        <f>_xlfn.IFNA(VLOOKUP(A50,'Item Cost Drop Down'!K:N,4, FALSE),"")</f>
        <v/>
      </c>
    </row>
    <row r="51" spans="1:9" x14ac:dyDescent="0.3">
      <c r="B51" s="25" t="str">
        <f>_xlfn.IFNA(VLOOKUP(A51,'Item Cost Drop Down'!K:L,2, FALSE),"")</f>
        <v/>
      </c>
      <c r="C51" s="36"/>
      <c r="E51" s="25" t="str">
        <f>_xlfn.IFNA(IF(VLOOKUP(Table2235[[#This Row],[Item, Role, Audience, Expense]],'Item Cost Drop Down'!K:M,3,FALSE)="Role Audience", Table2235[[#This Row],[Cost of Item, Wage]]*IF(Table2235[[#This Row],[Quantity of items/hours]]="","1",Table2235[[#This Row],[Quantity of items/hours]])*IF(Table2235[[#This Row],[Count (Indicate number of each role or item)]]="","1",Table2235[[#This Row],[Count (Indicate number of each role or item)]]),""),"")</f>
        <v/>
      </c>
      <c r="F51" s="25" t="str">
        <f>_xlfn.IFNA(IF(VLOOKUP(Table2235[[#This Row],[Item, Role, Audience, Expense]],'Item Cost Drop Down'!K:M,3,FALSE)="Item", Table2235[[#This Row],[Cost of Item, Wage]]*IF(Table2235[[#This Row],[Quantity of items/hours]]="","1",Table2235[[#This Row],[Quantity of items/hours]])*IF(Table2235[[#This Row],[Count (Indicate number of each role or item)]]="","1",Table2235[[#This Row],[Count (Indicate number of each role or item)]]),""),"")</f>
        <v/>
      </c>
      <c r="G51" s="25" t="str">
        <f>IF(Table2235[[#This Row],[Cost of Item, Wage]]="","",Table2235[[#This Row],[Cost of Item, Wage]]*IF(Table2235[[#This Row],[Quantity of items/hours]]="","1",Table2235[[#This Row],[Quantity of items/hours]])*IF(Table2235[[#This Row],[Count (Indicate number of each role or item)]]="","1",Table2235[[#This Row],[Count (Indicate number of each role or item)]]))</f>
        <v/>
      </c>
      <c r="H51"/>
      <c r="I51" s="51" t="str">
        <f>_xlfn.IFNA(VLOOKUP(A51,'Item Cost Drop Down'!K:N,4, FALSE),"")</f>
        <v/>
      </c>
    </row>
    <row r="52" spans="1:9" ht="17.25" thickBot="1" x14ac:dyDescent="0.35">
      <c r="B52" s="9" t="str">
        <f>_xlfn.IFNA(VLOOKUP(A52,'Item Cost Drop Down'!K:L,2, FALSE),"")</f>
        <v/>
      </c>
      <c r="C52" s="24"/>
      <c r="E52" s="9" t="str">
        <f>_xlfn.IFNA(IF(VLOOKUP(Table2235[[#This Row],[Item, Role, Audience, Expense]],'Item Cost Drop Down'!K:M,3,FALSE)="Role Audience", Table2235[[#This Row],[Cost of Item, Wage]]*IF(Table2235[[#This Row],[Quantity of items/hours]]="","1",Table2235[[#This Row],[Quantity of items/hours]])*IF(Table2235[[#This Row],[Count (Indicate number of each role or item)]]="","1",Table2235[[#This Row],[Count (Indicate number of each role or item)]]),""),"")</f>
        <v/>
      </c>
      <c r="F52" s="9" t="str">
        <f>_xlfn.IFNA(IF(VLOOKUP(Table2235[[#This Row],[Item, Role, Audience, Expense]],'Item Cost Drop Down'!K:M,3,FALSE)="Item", Table2235[[#This Row],[Cost of Item, Wage]]*IF(Table2235[[#This Row],[Quantity of items/hours]]="","1",Table2235[[#This Row],[Quantity of items/hours]])*IF(Table2235[[#This Row],[Count (Indicate number of each role or item)]]="","1",Table2235[[#This Row],[Count (Indicate number of each role or item)]]),""),"")</f>
        <v/>
      </c>
      <c r="G52" s="9" t="str">
        <f>IF(Table2235[[#This Row],[Cost of Item, Wage]]="","",Table2235[[#This Row],[Cost of Item, Wage]]*IF(Table2235[[#This Row],[Quantity of items/hours]]="","1",Table2235[[#This Row],[Quantity of items/hours]])*IF(Table2235[[#This Row],[Count (Indicate number of each role or item)]]="","1",Table2235[[#This Row],[Count (Indicate number of each role or item)]]))</f>
        <v/>
      </c>
      <c r="H52"/>
      <c r="I52" s="51" t="str">
        <f>_xlfn.IFNA(VLOOKUP(A52,'Item Cost Drop Down'!K:N,4, FALSE),"")</f>
        <v/>
      </c>
    </row>
    <row r="53" spans="1:9" ht="17.25" thickTop="1" x14ac:dyDescent="0.3">
      <c r="A53" s="10" t="s">
        <v>26</v>
      </c>
      <c r="B53" s="26" t="str">
        <f>_xlfn.IFNA(VLOOKUP(A53,'Item Cost Drop Down'!K:L,2, FALSE),"")</f>
        <v/>
      </c>
      <c r="C53" s="10"/>
      <c r="D53" s="12">
        <f>SUM(D47:D52)</f>
        <v>10</v>
      </c>
      <c r="E53" s="26">
        <f>SUM(E47:E52)</f>
        <v>0</v>
      </c>
      <c r="F53" s="26">
        <f>SUM(F47:F52)</f>
        <v>137930</v>
      </c>
      <c r="G53" s="26">
        <f>SUM(G47:G52)</f>
        <v>137930</v>
      </c>
      <c r="H53" s="11"/>
      <c r="I53" s="51" t="str">
        <f>_xlfn.IFNA(VLOOKUP(A53,'Item Cost Drop Down'!K:N,4, FALSE),"")</f>
        <v/>
      </c>
    </row>
    <row r="54" spans="1:9" x14ac:dyDescent="0.3">
      <c r="I54"/>
    </row>
    <row r="55" spans="1:9" x14ac:dyDescent="0.3">
      <c r="I55"/>
    </row>
    <row r="56" spans="1:9" x14ac:dyDescent="0.3">
      <c r="I56"/>
    </row>
    <row r="57" spans="1:9" x14ac:dyDescent="0.3">
      <c r="I57"/>
    </row>
    <row r="58" spans="1:9" x14ac:dyDescent="0.3">
      <c r="I58"/>
    </row>
    <row r="59" spans="1:9" x14ac:dyDescent="0.3">
      <c r="I59"/>
    </row>
    <row r="60" spans="1:9" x14ac:dyDescent="0.3">
      <c r="I60"/>
    </row>
    <row r="61" spans="1:9" x14ac:dyDescent="0.3">
      <c r="I61"/>
    </row>
    <row r="62" spans="1:9" x14ac:dyDescent="0.3">
      <c r="I62"/>
    </row>
    <row r="63" spans="1:9" x14ac:dyDescent="0.3">
      <c r="I63"/>
    </row>
    <row r="64" spans="1:9" x14ac:dyDescent="0.3">
      <c r="I64"/>
    </row>
    <row r="65" spans="9:9" x14ac:dyDescent="0.3">
      <c r="I65"/>
    </row>
    <row r="66" spans="9:9" x14ac:dyDescent="0.3">
      <c r="I66"/>
    </row>
    <row r="67" spans="9:9" x14ac:dyDescent="0.3">
      <c r="I67"/>
    </row>
    <row r="68" spans="9:9" x14ac:dyDescent="0.3">
      <c r="I68"/>
    </row>
    <row r="69" spans="9:9" x14ac:dyDescent="0.3">
      <c r="I69"/>
    </row>
    <row r="70" spans="9:9" x14ac:dyDescent="0.3">
      <c r="I70"/>
    </row>
    <row r="71" spans="9:9" x14ac:dyDescent="0.3">
      <c r="I71"/>
    </row>
    <row r="72" spans="9:9" x14ac:dyDescent="0.3">
      <c r="I72"/>
    </row>
    <row r="73" spans="9:9" x14ac:dyDescent="0.3">
      <c r="I73"/>
    </row>
    <row r="74" spans="9:9" x14ac:dyDescent="0.3">
      <c r="I74"/>
    </row>
    <row r="75" spans="9:9" x14ac:dyDescent="0.3">
      <c r="I75"/>
    </row>
    <row r="76" spans="9:9" x14ac:dyDescent="0.3">
      <c r="I76"/>
    </row>
    <row r="77" spans="9:9" x14ac:dyDescent="0.3">
      <c r="I77"/>
    </row>
    <row r="78" spans="9:9" x14ac:dyDescent="0.3">
      <c r="I78"/>
    </row>
    <row r="79" spans="9:9" x14ac:dyDescent="0.3">
      <c r="I79"/>
    </row>
    <row r="80" spans="9:9" x14ac:dyDescent="0.3">
      <c r="I80"/>
    </row>
    <row r="81" spans="9:9" x14ac:dyDescent="0.3">
      <c r="I81"/>
    </row>
    <row r="82" spans="9:9" x14ac:dyDescent="0.3">
      <c r="I82"/>
    </row>
    <row r="83" spans="9:9" x14ac:dyDescent="0.3">
      <c r="I83"/>
    </row>
    <row r="84" spans="9:9" x14ac:dyDescent="0.3">
      <c r="I84"/>
    </row>
    <row r="85" spans="9:9" x14ac:dyDescent="0.3">
      <c r="I85"/>
    </row>
    <row r="86" spans="9:9" x14ac:dyDescent="0.3">
      <c r="I86"/>
    </row>
    <row r="87" spans="9:9" x14ac:dyDescent="0.3">
      <c r="I87"/>
    </row>
    <row r="88" spans="9:9" x14ac:dyDescent="0.3">
      <c r="I88"/>
    </row>
    <row r="89" spans="9:9" x14ac:dyDescent="0.3">
      <c r="I89"/>
    </row>
    <row r="90" spans="9:9" x14ac:dyDescent="0.3">
      <c r="I90"/>
    </row>
    <row r="91" spans="9:9" x14ac:dyDescent="0.3">
      <c r="I91"/>
    </row>
    <row r="92" spans="9:9" x14ac:dyDescent="0.3">
      <c r="I92"/>
    </row>
    <row r="93" spans="9:9" x14ac:dyDescent="0.3">
      <c r="I93"/>
    </row>
    <row r="94" spans="9:9" x14ac:dyDescent="0.3">
      <c r="I94"/>
    </row>
    <row r="95" spans="9:9" x14ac:dyDescent="0.3">
      <c r="I95"/>
    </row>
    <row r="96" spans="9:9" x14ac:dyDescent="0.3">
      <c r="I96"/>
    </row>
    <row r="97" spans="9:9" x14ac:dyDescent="0.3">
      <c r="I97"/>
    </row>
    <row r="98" spans="9:9" x14ac:dyDescent="0.3">
      <c r="I98"/>
    </row>
    <row r="99" spans="9:9" x14ac:dyDescent="0.3">
      <c r="I99"/>
    </row>
    <row r="100" spans="9:9" x14ac:dyDescent="0.3">
      <c r="I100"/>
    </row>
    <row r="101" spans="9:9" x14ac:dyDescent="0.3">
      <c r="I101"/>
    </row>
    <row r="102" spans="9:9" x14ac:dyDescent="0.3">
      <c r="I102"/>
    </row>
    <row r="103" spans="9:9" x14ac:dyDescent="0.3">
      <c r="I103"/>
    </row>
    <row r="104" spans="9:9" x14ac:dyDescent="0.3">
      <c r="I104"/>
    </row>
    <row r="105" spans="9:9" x14ac:dyDescent="0.3">
      <c r="I105"/>
    </row>
    <row r="106" spans="9:9" x14ac:dyDescent="0.3">
      <c r="I106"/>
    </row>
    <row r="107" spans="9:9" x14ac:dyDescent="0.3">
      <c r="I107"/>
    </row>
    <row r="108" spans="9:9" x14ac:dyDescent="0.3">
      <c r="I108"/>
    </row>
    <row r="109" spans="9:9" x14ac:dyDescent="0.3">
      <c r="I109"/>
    </row>
    <row r="110" spans="9:9" x14ac:dyDescent="0.3">
      <c r="I110"/>
    </row>
    <row r="111" spans="9:9" x14ac:dyDescent="0.3">
      <c r="I111"/>
    </row>
    <row r="112" spans="9:9" x14ac:dyDescent="0.3">
      <c r="I112"/>
    </row>
    <row r="113" spans="9:9" x14ac:dyDescent="0.3">
      <c r="I113"/>
    </row>
    <row r="114" spans="9:9" x14ac:dyDescent="0.3">
      <c r="I114"/>
    </row>
    <row r="115" spans="9:9" x14ac:dyDescent="0.3">
      <c r="I115"/>
    </row>
  </sheetData>
  <protectedRanges>
    <protectedRange sqref="A22:A27 A35:A40 A47:A52" name="Item"/>
    <protectedRange sqref="D22:F27 D35:F40 D47:F52" name="Hours"/>
    <protectedRange sqref="H23:H27 H35:H40 H47:H52" name="comments"/>
    <protectedRange sqref="H22" name="comments_1"/>
  </protectedRanges>
  <mergeCells count="8">
    <mergeCell ref="A16:H18"/>
    <mergeCell ref="A8:D8"/>
    <mergeCell ref="A1:E1"/>
    <mergeCell ref="B4:E4"/>
    <mergeCell ref="B5:E5"/>
    <mergeCell ref="B6:E6"/>
    <mergeCell ref="B2:E2"/>
    <mergeCell ref="B3:E3"/>
  </mergeCells>
  <phoneticPr fontId="6" type="noConversion"/>
  <dataValidations count="5">
    <dataValidation allowBlank="1" showInputMessage="1" showErrorMessage="1" promptTitle="Enter Baseline Data" prompt="Enter the total number of problem-related events (e.g., CAUTIs, Falls, readmissions) from the 12 months *before* your intervention." sqref="A20 D22" xr:uid="{F8B569C3-9248-4E58-991B-7A75C9C13655}"/>
    <dataValidation allowBlank="1" showInputMessage="1" showErrorMessage="1" promptTitle="Enter Intervention Quantity" prompt="Enter staff time dedicated to the project, supplies needed, educator time, room bookings, or ongoing costs directly related to the intervention" sqref="D35" xr:uid="{33429610-3BCF-49E5-AC98-63EDE31A2112}"/>
    <dataValidation allowBlank="1" showInputMessage="1" showErrorMessage="1" promptTitle="Enter Outcome Data" prompt="Enter the total number of problem-related events for the 12 months *after* your intervention was fully implemented." sqref="D47" xr:uid="{739F631E-B6A2-4B72-8FC0-DDBE0F0FC354}"/>
    <dataValidation allowBlank="1" showInputMessage="1" showErrorMessage="1" promptTitle="Number of Hospitals or Units" prompt="Input the number of hospitals participating in the intervention. You can also use this to extrapolate or predict the savings/costs if you &quot;spread&quot; a pilot. " sqref="D11" xr:uid="{2040A10C-CEDF-4338-9403-72DE4996C049}"/>
    <dataValidation allowBlank="1" showInputMessage="1" showErrorMessage="1" promptTitle="Annualized Savings" prompt="If you have 12 months of data post intervention, keep this at 12. If you need to extrapolate for a whole year, simply input the number of months of data you currently have (e.g. 7 for 7 months). This allows you to predict the annual savings." sqref="B13" xr:uid="{861407E2-9E97-43CE-A1A0-616679338FC4}"/>
  </dataValidations>
  <pageMargins left="0.7" right="0.7" top="0.75" bottom="0.75" header="0.3" footer="0.3"/>
  <pageSetup orientation="portrait" r:id="rId1"/>
  <ignoredErrors>
    <ignoredError sqref="G22 G24 E23:F23 E25:G28 E35 E38:G38 E36:G36 E40:G41 E39:F39 E22 E24:F24 E37:G37" calculatedColumn="1"/>
  </ignoredErrors>
  <drawing r:id="rId2"/>
  <legacy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93FEB661-5E59-4F81-BD30-A7E6D74FD91B}">
          <x14:formula1>
            <xm:f>'Item Cost Drop Down'!$K$1:$K$102</xm:f>
          </x14:formula1>
          <xm:sqref>A22:A27 A35:A40 A47:A52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50D1C-B2C5-4629-884D-1230B9FDF619}">
  <sheetPr codeName="Sheet3"/>
  <dimension ref="A1:F31"/>
  <sheetViews>
    <sheetView workbookViewId="0">
      <selection activeCell="D33" sqref="D33"/>
    </sheetView>
  </sheetViews>
  <sheetFormatPr defaultRowHeight="16.5" x14ac:dyDescent="0.3"/>
  <cols>
    <col min="1" max="1" width="29.33203125" customWidth="1"/>
    <col min="2" max="2" width="22" bestFit="1" customWidth="1"/>
    <col min="3" max="3" width="21.77734375" bestFit="1" customWidth="1"/>
    <col min="4" max="4" width="20.21875" bestFit="1" customWidth="1"/>
    <col min="5" max="5" width="15.44140625" bestFit="1" customWidth="1"/>
    <col min="6" max="6" width="20.109375" customWidth="1"/>
  </cols>
  <sheetData>
    <row r="1" spans="1:6" x14ac:dyDescent="0.3">
      <c r="A1" s="49"/>
      <c r="B1" s="49"/>
      <c r="C1" s="49"/>
      <c r="D1" s="49"/>
      <c r="E1" s="49"/>
      <c r="F1" s="49"/>
    </row>
    <row r="2" spans="1:6" x14ac:dyDescent="0.3">
      <c r="D2" s="50"/>
      <c r="E2" s="6"/>
      <c r="F2" s="6"/>
    </row>
    <row r="3" spans="1:6" x14ac:dyDescent="0.3">
      <c r="E3" s="6"/>
      <c r="F3" s="6"/>
    </row>
    <row r="4" spans="1:6" x14ac:dyDescent="0.3">
      <c r="E4" s="6"/>
      <c r="F4" s="6"/>
    </row>
    <row r="5" spans="1:6" x14ac:dyDescent="0.3">
      <c r="E5" s="6"/>
      <c r="F5" s="6"/>
    </row>
    <row r="10" spans="1:6" x14ac:dyDescent="0.3">
      <c r="A10" s="49" t="s">
        <v>395</v>
      </c>
      <c r="B10" s="49" t="s">
        <v>393</v>
      </c>
      <c r="C10" s="49" t="s">
        <v>394</v>
      </c>
      <c r="D10" s="49" t="s">
        <v>399</v>
      </c>
    </row>
    <row r="11" spans="1:6" x14ac:dyDescent="0.3">
      <c r="A11" t="s">
        <v>396</v>
      </c>
      <c r="B11">
        <v>1000</v>
      </c>
      <c r="C11">
        <v>1000</v>
      </c>
      <c r="D11">
        <f>SUM(B11:C11)</f>
        <v>2000</v>
      </c>
    </row>
    <row r="12" spans="1:6" x14ac:dyDescent="0.3">
      <c r="A12" t="s">
        <v>397</v>
      </c>
      <c r="B12" s="85">
        <f>Calculator!D28</f>
        <v>15</v>
      </c>
      <c r="C12" s="86">
        <f>Calculator!D53</f>
        <v>10</v>
      </c>
      <c r="D12">
        <f t="shared" ref="D12:D13" si="0">SUM(B12:C12)</f>
        <v>25</v>
      </c>
    </row>
    <row r="13" spans="1:6" x14ac:dyDescent="0.3">
      <c r="A13" t="s">
        <v>398</v>
      </c>
      <c r="B13">
        <f>B11-B12</f>
        <v>985</v>
      </c>
      <c r="C13">
        <f>C11-C12</f>
        <v>990</v>
      </c>
      <c r="D13">
        <f t="shared" si="0"/>
        <v>1975</v>
      </c>
    </row>
    <row r="15" spans="1:6" x14ac:dyDescent="0.3">
      <c r="B15">
        <f>SUM(B11:B14)</f>
        <v>2000</v>
      </c>
      <c r="C15">
        <f>SUM(C11:C14)</f>
        <v>2000</v>
      </c>
    </row>
    <row r="18" spans="1:3" x14ac:dyDescent="0.3">
      <c r="A18" s="49" t="s">
        <v>400</v>
      </c>
      <c r="B18" s="49" t="s">
        <v>403</v>
      </c>
      <c r="C18" s="49" t="s">
        <v>404</v>
      </c>
    </row>
    <row r="19" spans="1:3" x14ac:dyDescent="0.3">
      <c r="A19" t="s">
        <v>401</v>
      </c>
      <c r="B19">
        <f>(D12*B11)/D11</f>
        <v>12.5</v>
      </c>
      <c r="C19">
        <f>(C12*C11)/D11</f>
        <v>5</v>
      </c>
    </row>
    <row r="20" spans="1:3" x14ac:dyDescent="0.3">
      <c r="A20" t="s">
        <v>402</v>
      </c>
      <c r="B20">
        <f>(D13*C11)/D11</f>
        <v>987.5</v>
      </c>
      <c r="C20">
        <f>(D13*C11)/D11</f>
        <v>987.5</v>
      </c>
    </row>
    <row r="24" spans="1:3" x14ac:dyDescent="0.3">
      <c r="A24" s="49" t="s">
        <v>405</v>
      </c>
      <c r="B24" s="49" t="s">
        <v>403</v>
      </c>
      <c r="C24" s="49" t="s">
        <v>404</v>
      </c>
    </row>
    <row r="25" spans="1:3" x14ac:dyDescent="0.3">
      <c r="A25" t="s">
        <v>401</v>
      </c>
      <c r="B25">
        <f>(B12-B19)^2/B19</f>
        <v>0.5</v>
      </c>
      <c r="C25">
        <f>(C12-C19)/C12</f>
        <v>0.5</v>
      </c>
    </row>
    <row r="26" spans="1:3" x14ac:dyDescent="0.3">
      <c r="A26" t="s">
        <v>402</v>
      </c>
      <c r="B26">
        <f>(B13-B20)^2/B20</f>
        <v>6.3291139240506328E-3</v>
      </c>
      <c r="C26">
        <f>(C13-C20)/C20</f>
        <v>2.5316455696202532E-3</v>
      </c>
    </row>
    <row r="30" spans="1:3" x14ac:dyDescent="0.3">
      <c r="A30" s="87" t="s">
        <v>406</v>
      </c>
      <c r="B30" s="87">
        <f>SUM(B25:C26)</f>
        <v>1.0088607594936709</v>
      </c>
    </row>
    <row r="31" spans="1:3" x14ac:dyDescent="0.3">
      <c r="A31" s="87" t="s">
        <v>407</v>
      </c>
      <c r="B31" s="87">
        <f>_xlfn.CHISQ.DIST.RT(B30,1)</f>
        <v>0.31517592053166771</v>
      </c>
    </row>
  </sheetData>
  <protectedRanges>
    <protectedRange sqref="E8" name="Range1"/>
  </protectedRanges>
  <dataValidations count="2">
    <dataValidation allowBlank="1" showInputMessage="1" showErrorMessage="1" promptTitle="Pre-Intervention Baseline Data" prompt="Plug in your pre- CAUTI data" sqref="B12" xr:uid="{502134DC-6B02-4DAA-9848-5724895761CE}"/>
    <dataValidation allowBlank="1" showInputMessage="1" showErrorMessage="1" promptTitle="Post Intervention Data" prompt="Plug in your post intervention cases here. " sqref="C12" xr:uid="{D1158D9C-BBE4-449C-8205-D4A11DC77E76}"/>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C538-1A28-41D9-94FC-58E66718FB39}">
  <sheetPr codeName="Sheet4"/>
  <dimension ref="A1:N96"/>
  <sheetViews>
    <sheetView topLeftCell="C58" zoomScale="110" zoomScaleNormal="110" workbookViewId="0">
      <selection activeCell="L72" sqref="L72"/>
    </sheetView>
  </sheetViews>
  <sheetFormatPr defaultRowHeight="16.5" x14ac:dyDescent="0.3"/>
  <cols>
    <col min="1" max="1" width="31.44140625" style="20" customWidth="1"/>
    <col min="2" max="2" width="11.77734375" bestFit="1" customWidth="1"/>
    <col min="3" max="3" width="12.109375" bestFit="1" customWidth="1"/>
    <col min="6" max="6" width="21" bestFit="1" customWidth="1"/>
    <col min="11" max="11" width="32.77734375" bestFit="1" customWidth="1"/>
    <col min="12" max="12" width="12.21875" bestFit="1" customWidth="1"/>
    <col min="13" max="13" width="13.21875" customWidth="1"/>
    <col min="14" max="14" width="49.33203125" style="63" bestFit="1" customWidth="1"/>
  </cols>
  <sheetData>
    <row r="1" spans="1:14" ht="17.25" thickBot="1" x14ac:dyDescent="0.35">
      <c r="A1" s="19" t="s">
        <v>18</v>
      </c>
      <c r="B1" s="18" t="s">
        <v>19</v>
      </c>
      <c r="F1" s="17" t="s">
        <v>20</v>
      </c>
      <c r="G1" s="18" t="s">
        <v>5</v>
      </c>
      <c r="K1" s="20" t="s">
        <v>67</v>
      </c>
      <c r="L1" s="6">
        <v>2500</v>
      </c>
      <c r="M1" s="19" t="s">
        <v>18</v>
      </c>
      <c r="N1" s="63" t="s">
        <v>318</v>
      </c>
    </row>
    <row r="2" spans="1:14" x14ac:dyDescent="0.3">
      <c r="A2" s="20" t="s">
        <v>67</v>
      </c>
      <c r="B2" s="6">
        <v>19118</v>
      </c>
      <c r="F2" t="s">
        <v>9</v>
      </c>
      <c r="G2">
        <v>51.66</v>
      </c>
      <c r="K2" s="20" t="s">
        <v>38</v>
      </c>
      <c r="L2" s="6">
        <v>813</v>
      </c>
      <c r="M2" t="s">
        <v>18</v>
      </c>
      <c r="N2" s="63" t="s">
        <v>319</v>
      </c>
    </row>
    <row r="3" spans="1:14" x14ac:dyDescent="0.3">
      <c r="A3" s="20" t="s">
        <v>38</v>
      </c>
      <c r="B3" s="6">
        <v>813</v>
      </c>
      <c r="F3" t="s">
        <v>10</v>
      </c>
      <c r="G3">
        <v>50</v>
      </c>
      <c r="K3" s="20" t="s">
        <v>28</v>
      </c>
      <c r="L3" s="6">
        <v>5746</v>
      </c>
      <c r="M3" t="s">
        <v>18</v>
      </c>
      <c r="N3" s="63">
        <v>11</v>
      </c>
    </row>
    <row r="4" spans="1:14" x14ac:dyDescent="0.3">
      <c r="A4" s="20" t="s">
        <v>28</v>
      </c>
      <c r="B4" s="6">
        <v>5746</v>
      </c>
      <c r="F4" t="s">
        <v>15</v>
      </c>
      <c r="G4">
        <v>57</v>
      </c>
      <c r="K4" s="20" t="s">
        <v>30</v>
      </c>
      <c r="L4" s="6">
        <v>11433</v>
      </c>
      <c r="M4" t="s">
        <v>18</v>
      </c>
      <c r="N4" s="63" t="s">
        <v>320</v>
      </c>
    </row>
    <row r="5" spans="1:14" x14ac:dyDescent="0.3">
      <c r="A5" s="20" t="s">
        <v>30</v>
      </c>
      <c r="B5" s="6">
        <v>11433</v>
      </c>
      <c r="F5" t="s">
        <v>11</v>
      </c>
      <c r="G5">
        <v>60</v>
      </c>
      <c r="K5" s="20" t="s">
        <v>29</v>
      </c>
      <c r="L5" s="6">
        <v>624</v>
      </c>
      <c r="M5" t="s">
        <v>18</v>
      </c>
      <c r="N5" s="63" t="s">
        <v>321</v>
      </c>
    </row>
    <row r="6" spans="1:14" x14ac:dyDescent="0.3">
      <c r="A6" s="20" t="s">
        <v>29</v>
      </c>
      <c r="B6" s="6">
        <v>624</v>
      </c>
      <c r="F6" t="s">
        <v>16</v>
      </c>
      <c r="G6">
        <v>47</v>
      </c>
      <c r="K6" s="20" t="s">
        <v>31</v>
      </c>
      <c r="L6" s="6">
        <v>5988</v>
      </c>
      <c r="M6" t="s">
        <v>18</v>
      </c>
      <c r="N6" s="63" t="s">
        <v>322</v>
      </c>
    </row>
    <row r="7" spans="1:14" x14ac:dyDescent="0.3">
      <c r="A7" s="20" t="s">
        <v>31</v>
      </c>
      <c r="B7" s="6">
        <v>5988</v>
      </c>
      <c r="F7" t="s">
        <v>13</v>
      </c>
      <c r="G7">
        <v>17</v>
      </c>
      <c r="K7" s="20" t="s">
        <v>39</v>
      </c>
      <c r="L7" s="6">
        <v>755</v>
      </c>
      <c r="M7" t="s">
        <v>18</v>
      </c>
      <c r="N7" s="63" t="s">
        <v>323</v>
      </c>
    </row>
    <row r="8" spans="1:14" x14ac:dyDescent="0.3">
      <c r="A8" s="20" t="s">
        <v>39</v>
      </c>
      <c r="B8" s="6">
        <v>755</v>
      </c>
      <c r="F8" t="s">
        <v>14</v>
      </c>
      <c r="G8">
        <v>17</v>
      </c>
      <c r="K8" s="20" t="s">
        <v>27</v>
      </c>
      <c r="L8" s="6">
        <v>1685</v>
      </c>
      <c r="M8" t="s">
        <v>18</v>
      </c>
      <c r="N8" s="63" t="s">
        <v>324</v>
      </c>
    </row>
    <row r="9" spans="1:14" x14ac:dyDescent="0.3">
      <c r="A9" s="20" t="s">
        <v>27</v>
      </c>
      <c r="B9" s="6">
        <v>1685</v>
      </c>
      <c r="F9" t="s">
        <v>17</v>
      </c>
      <c r="G9">
        <v>45</v>
      </c>
      <c r="K9" s="20" t="s">
        <v>69</v>
      </c>
      <c r="L9" s="6">
        <v>2100</v>
      </c>
      <c r="M9" t="s">
        <v>18</v>
      </c>
      <c r="N9" s="63" t="s">
        <v>325</v>
      </c>
    </row>
    <row r="10" spans="1:14" x14ac:dyDescent="0.3">
      <c r="A10" s="20" t="s">
        <v>69</v>
      </c>
      <c r="B10" s="6">
        <v>19118</v>
      </c>
      <c r="F10" t="s">
        <v>79</v>
      </c>
      <c r="G10">
        <v>127.12</v>
      </c>
      <c r="K10" s="20" t="s">
        <v>44</v>
      </c>
      <c r="L10" s="6">
        <v>3266</v>
      </c>
      <c r="M10" t="s">
        <v>18</v>
      </c>
      <c r="N10" s="63" t="s">
        <v>327</v>
      </c>
    </row>
    <row r="11" spans="1:14" x14ac:dyDescent="0.3">
      <c r="A11" s="20" t="s">
        <v>44</v>
      </c>
      <c r="B11" s="6">
        <v>2191</v>
      </c>
      <c r="F11" t="s">
        <v>106</v>
      </c>
      <c r="G11">
        <v>1</v>
      </c>
      <c r="K11" s="20" t="s">
        <v>45</v>
      </c>
      <c r="L11" s="6">
        <v>690</v>
      </c>
      <c r="M11" t="s">
        <v>18</v>
      </c>
      <c r="N11" s="63" t="s">
        <v>326</v>
      </c>
    </row>
    <row r="12" spans="1:14" x14ac:dyDescent="0.3">
      <c r="A12" s="20" t="s">
        <v>45</v>
      </c>
      <c r="B12" s="6">
        <v>690</v>
      </c>
      <c r="K12" s="20" t="s">
        <v>76</v>
      </c>
      <c r="L12" s="6">
        <v>2243</v>
      </c>
      <c r="M12" t="s">
        <v>18</v>
      </c>
      <c r="N12" s="63" t="s">
        <v>328</v>
      </c>
    </row>
    <row r="13" spans="1:14" x14ac:dyDescent="0.3">
      <c r="A13" s="20" t="s">
        <v>76</v>
      </c>
      <c r="B13" s="6">
        <v>2243</v>
      </c>
      <c r="K13" s="20" t="s">
        <v>63</v>
      </c>
      <c r="L13" s="6">
        <v>17058</v>
      </c>
      <c r="M13" t="s">
        <v>18</v>
      </c>
      <c r="N13" s="63" t="s">
        <v>329</v>
      </c>
    </row>
    <row r="14" spans="1:14" x14ac:dyDescent="0.3">
      <c r="A14" s="20" t="s">
        <v>63</v>
      </c>
      <c r="B14" s="6">
        <v>17058</v>
      </c>
      <c r="K14" s="20" t="s">
        <v>46</v>
      </c>
      <c r="L14" s="6">
        <v>3.97</v>
      </c>
      <c r="M14" t="s">
        <v>18</v>
      </c>
      <c r="N14" s="63" t="s">
        <v>330</v>
      </c>
    </row>
    <row r="15" spans="1:14" x14ac:dyDescent="0.3">
      <c r="A15" s="20" t="s">
        <v>46</v>
      </c>
      <c r="B15" s="6">
        <v>3.97</v>
      </c>
      <c r="K15" s="20" t="s">
        <v>115</v>
      </c>
      <c r="L15" s="6">
        <v>9130</v>
      </c>
      <c r="M15" t="s">
        <v>18</v>
      </c>
      <c r="N15" s="63" t="s">
        <v>331</v>
      </c>
    </row>
    <row r="16" spans="1:14" x14ac:dyDescent="0.3">
      <c r="A16" s="20" t="s">
        <v>81</v>
      </c>
      <c r="B16" s="6">
        <v>417</v>
      </c>
      <c r="K16" s="20" t="s">
        <v>116</v>
      </c>
      <c r="L16" s="6">
        <v>4253</v>
      </c>
      <c r="M16" t="s">
        <v>18</v>
      </c>
      <c r="N16" s="63" t="s">
        <v>332</v>
      </c>
    </row>
    <row r="17" spans="1:14" x14ac:dyDescent="0.3">
      <c r="A17" s="20" t="s">
        <v>48</v>
      </c>
      <c r="B17" s="6">
        <v>2204</v>
      </c>
      <c r="K17" s="20" t="s">
        <v>114</v>
      </c>
      <c r="L17" s="6">
        <v>7873</v>
      </c>
      <c r="M17" t="s">
        <v>18</v>
      </c>
      <c r="N17" s="63">
        <v>62</v>
      </c>
    </row>
    <row r="18" spans="1:14" x14ac:dyDescent="0.3">
      <c r="A18" s="20" t="s">
        <v>49</v>
      </c>
      <c r="B18" s="6">
        <v>3247</v>
      </c>
      <c r="K18" s="20" t="s">
        <v>47</v>
      </c>
      <c r="L18" s="6">
        <v>21329</v>
      </c>
      <c r="M18" t="s">
        <v>18</v>
      </c>
      <c r="N18" s="63" t="s">
        <v>333</v>
      </c>
    </row>
    <row r="19" spans="1:14" x14ac:dyDescent="0.3">
      <c r="A19" s="20" t="s">
        <v>47</v>
      </c>
      <c r="B19" s="6">
        <v>21329</v>
      </c>
      <c r="K19" s="20" t="s">
        <v>21</v>
      </c>
      <c r="L19" s="6">
        <v>13793</v>
      </c>
      <c r="M19" t="s">
        <v>18</v>
      </c>
      <c r="N19" s="63" t="s">
        <v>334</v>
      </c>
    </row>
    <row r="20" spans="1:14" x14ac:dyDescent="0.3">
      <c r="A20" s="20" t="s">
        <v>21</v>
      </c>
      <c r="B20" s="6">
        <v>48108</v>
      </c>
      <c r="K20" s="20" t="s">
        <v>12</v>
      </c>
      <c r="L20" s="6">
        <v>24205</v>
      </c>
      <c r="M20" t="s">
        <v>18</v>
      </c>
      <c r="N20" s="63" t="s">
        <v>335</v>
      </c>
    </row>
    <row r="21" spans="1:14" x14ac:dyDescent="0.3">
      <c r="A21" s="20" t="s">
        <v>12</v>
      </c>
      <c r="B21" s="6">
        <v>24205</v>
      </c>
      <c r="K21" s="20" t="s">
        <v>22</v>
      </c>
      <c r="L21" s="6">
        <v>45814</v>
      </c>
      <c r="M21" t="s">
        <v>18</v>
      </c>
      <c r="N21" s="63" t="s">
        <v>336</v>
      </c>
    </row>
    <row r="22" spans="1:14" x14ac:dyDescent="0.3">
      <c r="A22" s="20" t="s">
        <v>118</v>
      </c>
      <c r="B22" s="6">
        <v>45814</v>
      </c>
      <c r="K22" t="s">
        <v>13</v>
      </c>
      <c r="L22">
        <f>17*1.28</f>
        <v>21.76</v>
      </c>
      <c r="M22" t="s">
        <v>20</v>
      </c>
      <c r="N22" s="63" t="s">
        <v>337</v>
      </c>
    </row>
    <row r="23" spans="1:14" x14ac:dyDescent="0.3">
      <c r="A23" s="20" t="s">
        <v>64</v>
      </c>
      <c r="B23" s="6">
        <v>13200</v>
      </c>
      <c r="K23" s="20" t="s">
        <v>64</v>
      </c>
      <c r="L23" s="6">
        <v>13200</v>
      </c>
      <c r="M23" t="s">
        <v>18</v>
      </c>
      <c r="N23" s="63" t="s">
        <v>338</v>
      </c>
    </row>
    <row r="24" spans="1:14" x14ac:dyDescent="0.3">
      <c r="A24" s="20" t="s">
        <v>68</v>
      </c>
      <c r="B24" s="6">
        <v>46130</v>
      </c>
      <c r="K24" s="20" t="s">
        <v>68</v>
      </c>
      <c r="L24" s="6">
        <v>29456</v>
      </c>
      <c r="M24" t="s">
        <v>18</v>
      </c>
      <c r="N24" s="63" t="s">
        <v>339</v>
      </c>
    </row>
    <row r="25" spans="1:14" x14ac:dyDescent="0.3">
      <c r="A25" s="20" t="s">
        <v>37</v>
      </c>
      <c r="B25" s="6">
        <v>2096</v>
      </c>
      <c r="K25" t="s">
        <v>14</v>
      </c>
      <c r="L25">
        <f>17*1.28</f>
        <v>21.76</v>
      </c>
      <c r="M25" t="s">
        <v>20</v>
      </c>
      <c r="N25" s="63" t="s">
        <v>340</v>
      </c>
    </row>
    <row r="26" spans="1:14" x14ac:dyDescent="0.3">
      <c r="A26" s="20" t="s">
        <v>52</v>
      </c>
      <c r="B26" s="6">
        <v>25523</v>
      </c>
      <c r="K26" s="20" t="s">
        <v>37</v>
      </c>
      <c r="L26" s="6">
        <v>750</v>
      </c>
      <c r="M26" t="s">
        <v>18</v>
      </c>
      <c r="N26" s="63" t="s">
        <v>341</v>
      </c>
    </row>
    <row r="27" spans="1:14" x14ac:dyDescent="0.3">
      <c r="A27" s="20" t="s">
        <v>50</v>
      </c>
      <c r="B27" s="6">
        <v>73749</v>
      </c>
      <c r="K27" s="20" t="s">
        <v>52</v>
      </c>
      <c r="L27" s="6">
        <f>425+322</f>
        <v>747</v>
      </c>
      <c r="M27" t="s">
        <v>18</v>
      </c>
      <c r="N27" s="64">
        <v>109110</v>
      </c>
    </row>
    <row r="28" spans="1:14" x14ac:dyDescent="0.3">
      <c r="A28" s="20" t="s">
        <v>51</v>
      </c>
      <c r="B28" s="6">
        <v>33140</v>
      </c>
      <c r="K28" s="20" t="s">
        <v>50</v>
      </c>
      <c r="L28" s="6">
        <v>73749</v>
      </c>
      <c r="M28" t="s">
        <v>18</v>
      </c>
      <c r="N28" s="63" t="s">
        <v>343</v>
      </c>
    </row>
    <row r="29" spans="1:14" ht="33" x14ac:dyDescent="0.3">
      <c r="A29" s="22" t="s">
        <v>102</v>
      </c>
      <c r="B29" s="6">
        <v>358</v>
      </c>
      <c r="K29" s="20" t="s">
        <v>51</v>
      </c>
      <c r="L29" s="6">
        <v>33140</v>
      </c>
      <c r="M29" t="s">
        <v>18</v>
      </c>
      <c r="N29" s="63" t="s">
        <v>342</v>
      </c>
    </row>
    <row r="30" spans="1:14" ht="33" x14ac:dyDescent="0.3">
      <c r="A30" s="20" t="s">
        <v>53</v>
      </c>
      <c r="B30" s="6">
        <v>4009</v>
      </c>
      <c r="K30" s="22" t="s">
        <v>102</v>
      </c>
      <c r="L30" s="6">
        <v>358</v>
      </c>
      <c r="M30" t="s">
        <v>18</v>
      </c>
      <c r="N30" s="64">
        <v>1.15116117118119E+20</v>
      </c>
    </row>
    <row r="31" spans="1:14" x14ac:dyDescent="0.3">
      <c r="A31" s="20" t="s">
        <v>66</v>
      </c>
      <c r="B31" s="6">
        <v>18784</v>
      </c>
      <c r="K31" s="20" t="s">
        <v>53</v>
      </c>
      <c r="L31" s="6">
        <v>4009</v>
      </c>
      <c r="M31" t="s">
        <v>18</v>
      </c>
      <c r="N31" s="64">
        <v>122123124125</v>
      </c>
    </row>
    <row r="32" spans="1:14" x14ac:dyDescent="0.3">
      <c r="A32" s="20" t="s">
        <v>23</v>
      </c>
      <c r="B32" s="6">
        <v>14000</v>
      </c>
      <c r="K32" s="20" t="s">
        <v>66</v>
      </c>
      <c r="L32" s="6">
        <v>18784</v>
      </c>
      <c r="M32" t="s">
        <v>18</v>
      </c>
      <c r="N32" s="63" t="s">
        <v>347</v>
      </c>
    </row>
    <row r="33" spans="1:14" x14ac:dyDescent="0.3">
      <c r="A33" s="20" t="s">
        <v>24</v>
      </c>
      <c r="B33" s="6">
        <v>70000</v>
      </c>
      <c r="K33" s="20" t="s">
        <v>23</v>
      </c>
      <c r="L33" s="6">
        <v>14000</v>
      </c>
      <c r="M33" t="s">
        <v>18</v>
      </c>
      <c r="N33" s="64">
        <v>1.1126127128130099E+22</v>
      </c>
    </row>
    <row r="34" spans="1:14" x14ac:dyDescent="0.3">
      <c r="A34" s="20" t="s">
        <v>25</v>
      </c>
      <c r="B34" s="6">
        <v>129240</v>
      </c>
      <c r="K34" s="20" t="s">
        <v>119</v>
      </c>
      <c r="L34" s="6">
        <v>750</v>
      </c>
      <c r="M34" t="s">
        <v>18</v>
      </c>
      <c r="N34" s="64">
        <v>133134</v>
      </c>
    </row>
    <row r="35" spans="1:14" x14ac:dyDescent="0.3">
      <c r="A35" s="20" t="s">
        <v>54</v>
      </c>
      <c r="B35" s="6">
        <v>53384</v>
      </c>
      <c r="K35" s="20" t="s">
        <v>24</v>
      </c>
      <c r="L35" s="6"/>
      <c r="M35" t="s">
        <v>18</v>
      </c>
      <c r="N35" s="64">
        <v>11137135136138</v>
      </c>
    </row>
    <row r="36" spans="1:14" x14ac:dyDescent="0.3">
      <c r="A36" s="20" t="s">
        <v>55</v>
      </c>
      <c r="B36" s="6">
        <v>3013</v>
      </c>
      <c r="K36" s="20" t="s">
        <v>25</v>
      </c>
      <c r="L36" s="6">
        <v>129240</v>
      </c>
      <c r="M36" t="s">
        <v>18</v>
      </c>
      <c r="N36" s="64">
        <v>139140137</v>
      </c>
    </row>
    <row r="37" spans="1:14" x14ac:dyDescent="0.3">
      <c r="A37" s="20" t="s">
        <v>105</v>
      </c>
      <c r="B37" s="6">
        <v>15000</v>
      </c>
      <c r="K37" s="20" t="s">
        <v>54</v>
      </c>
      <c r="L37" s="6">
        <v>19000</v>
      </c>
      <c r="M37" t="s">
        <v>18</v>
      </c>
      <c r="N37" s="63" t="s">
        <v>344</v>
      </c>
    </row>
    <row r="38" spans="1:14" x14ac:dyDescent="0.3">
      <c r="A38" s="20" t="s">
        <v>56</v>
      </c>
      <c r="B38" s="6">
        <v>758</v>
      </c>
      <c r="K38" s="20" t="s">
        <v>55</v>
      </c>
      <c r="L38" s="6">
        <v>3013</v>
      </c>
      <c r="M38" t="s">
        <v>18</v>
      </c>
      <c r="N38" s="63" t="s">
        <v>345</v>
      </c>
    </row>
    <row r="39" spans="1:14" x14ac:dyDescent="0.3">
      <c r="A39" s="20" t="s">
        <v>43</v>
      </c>
      <c r="B39" s="6">
        <v>72</v>
      </c>
      <c r="K39" s="20" t="s">
        <v>105</v>
      </c>
      <c r="L39" s="6">
        <v>11000</v>
      </c>
      <c r="M39" t="s">
        <v>18</v>
      </c>
      <c r="N39" s="63" t="s">
        <v>346</v>
      </c>
    </row>
    <row r="40" spans="1:14" x14ac:dyDescent="0.3">
      <c r="A40" s="20" t="s">
        <v>57</v>
      </c>
      <c r="B40" s="6">
        <v>626</v>
      </c>
      <c r="K40" s="20" t="s">
        <v>56</v>
      </c>
      <c r="L40" s="6">
        <v>758</v>
      </c>
      <c r="M40" t="s">
        <v>18</v>
      </c>
      <c r="N40" s="64">
        <v>168169170171</v>
      </c>
    </row>
    <row r="41" spans="1:14" x14ac:dyDescent="0.3">
      <c r="A41" s="20" t="s">
        <v>87</v>
      </c>
      <c r="B41" s="6">
        <v>113.13</v>
      </c>
      <c r="K41" s="20" t="s">
        <v>43</v>
      </c>
      <c r="L41" s="6">
        <v>72</v>
      </c>
      <c r="M41" t="s">
        <v>18</v>
      </c>
      <c r="N41" s="63">
        <v>172</v>
      </c>
    </row>
    <row r="42" spans="1:14" x14ac:dyDescent="0.3">
      <c r="A42" s="20" t="s">
        <v>58</v>
      </c>
      <c r="B42" s="6">
        <v>5104</v>
      </c>
      <c r="K42" s="20" t="s">
        <v>57</v>
      </c>
      <c r="L42" s="6">
        <v>626</v>
      </c>
      <c r="M42" t="s">
        <v>18</v>
      </c>
      <c r="N42" s="64">
        <v>173175174176</v>
      </c>
    </row>
    <row r="43" spans="1:14" x14ac:dyDescent="0.3">
      <c r="A43" s="20" t="s">
        <v>41</v>
      </c>
      <c r="B43" s="6">
        <v>28</v>
      </c>
      <c r="K43" s="20" t="s">
        <v>87</v>
      </c>
      <c r="L43" s="6">
        <v>113.13</v>
      </c>
      <c r="M43" t="s">
        <v>18</v>
      </c>
      <c r="N43" s="63" t="s">
        <v>347</v>
      </c>
    </row>
    <row r="44" spans="1:14" x14ac:dyDescent="0.3">
      <c r="A44" s="20" t="s">
        <v>34</v>
      </c>
      <c r="B44" s="6">
        <v>9851</v>
      </c>
      <c r="K44" s="20" t="s">
        <v>58</v>
      </c>
      <c r="L44" s="6">
        <v>27000</v>
      </c>
      <c r="M44" t="s">
        <v>18</v>
      </c>
      <c r="N44" s="64">
        <v>177178180179</v>
      </c>
    </row>
    <row r="45" spans="1:14" x14ac:dyDescent="0.3">
      <c r="A45" s="20" t="s">
        <v>59</v>
      </c>
      <c r="B45" s="6">
        <v>2212</v>
      </c>
      <c r="K45" s="20" t="s">
        <v>41</v>
      </c>
      <c r="L45" s="6">
        <v>28</v>
      </c>
      <c r="M45" t="s">
        <v>18</v>
      </c>
      <c r="N45" s="63" t="s">
        <v>347</v>
      </c>
    </row>
    <row r="46" spans="1:14" x14ac:dyDescent="0.3">
      <c r="A46" s="20" t="s">
        <v>33</v>
      </c>
      <c r="B46" s="6">
        <v>19672</v>
      </c>
      <c r="K46" s="20" t="s">
        <v>34</v>
      </c>
      <c r="L46" s="6">
        <v>9851</v>
      </c>
      <c r="M46" t="s">
        <v>18</v>
      </c>
      <c r="N46" s="64">
        <v>1.2181182183184099E+19</v>
      </c>
    </row>
    <row r="47" spans="1:14" x14ac:dyDescent="0.3">
      <c r="A47" s="20" t="s">
        <v>35</v>
      </c>
      <c r="B47" s="6">
        <v>9879</v>
      </c>
      <c r="K47" s="20" t="s">
        <v>59</v>
      </c>
      <c r="L47" s="6">
        <v>13000</v>
      </c>
      <c r="M47" t="s">
        <v>18</v>
      </c>
      <c r="N47" s="64">
        <v>187188189</v>
      </c>
    </row>
    <row r="48" spans="1:14" x14ac:dyDescent="0.3">
      <c r="A48" s="20" t="s">
        <v>62</v>
      </c>
      <c r="B48" s="6">
        <v>2375</v>
      </c>
      <c r="K48" s="20" t="s">
        <v>33</v>
      </c>
      <c r="L48" s="6">
        <v>19672</v>
      </c>
      <c r="M48" t="s">
        <v>18</v>
      </c>
      <c r="N48" s="63" t="s">
        <v>348</v>
      </c>
    </row>
    <row r="49" spans="1:14" x14ac:dyDescent="0.3">
      <c r="A49" s="20" t="s">
        <v>60</v>
      </c>
      <c r="B49" s="6">
        <v>4050</v>
      </c>
      <c r="K49" s="20" t="s">
        <v>35</v>
      </c>
      <c r="L49" s="6">
        <v>9879</v>
      </c>
      <c r="M49" t="s">
        <v>18</v>
      </c>
      <c r="N49" s="64">
        <v>191192</v>
      </c>
    </row>
    <row r="50" spans="1:14" x14ac:dyDescent="0.3">
      <c r="A50" s="20" t="s">
        <v>61</v>
      </c>
      <c r="B50" s="6">
        <v>1317</v>
      </c>
      <c r="K50" s="20" t="s">
        <v>62</v>
      </c>
      <c r="L50" s="6">
        <v>2375</v>
      </c>
      <c r="M50" t="s">
        <v>18</v>
      </c>
      <c r="N50" s="64">
        <v>193194195</v>
      </c>
    </row>
    <row r="51" spans="1:14" x14ac:dyDescent="0.3">
      <c r="A51" s="20" t="s">
        <v>71</v>
      </c>
      <c r="B51" s="6">
        <v>14792</v>
      </c>
      <c r="K51" s="20" t="s">
        <v>60</v>
      </c>
      <c r="L51" s="6">
        <v>4050</v>
      </c>
      <c r="M51" t="s">
        <v>18</v>
      </c>
      <c r="N51" s="63" t="s">
        <v>349</v>
      </c>
    </row>
    <row r="52" spans="1:14" x14ac:dyDescent="0.3">
      <c r="A52" s="20" t="s">
        <v>70</v>
      </c>
      <c r="B52" s="6">
        <v>38500</v>
      </c>
      <c r="K52" s="20" t="s">
        <v>61</v>
      </c>
      <c r="L52" s="6">
        <v>3075</v>
      </c>
      <c r="M52" t="s">
        <v>18</v>
      </c>
      <c r="N52" s="63" t="s">
        <v>350</v>
      </c>
    </row>
    <row r="53" spans="1:14" x14ac:dyDescent="0.3">
      <c r="A53" s="20" t="s">
        <v>72</v>
      </c>
      <c r="B53" s="6">
        <v>40700</v>
      </c>
      <c r="K53" s="20" t="s">
        <v>71</v>
      </c>
      <c r="L53" s="6">
        <v>14792</v>
      </c>
      <c r="M53" t="s">
        <v>18</v>
      </c>
      <c r="N53" s="64">
        <v>199200201202203</v>
      </c>
    </row>
    <row r="54" spans="1:14" x14ac:dyDescent="0.3">
      <c r="A54" s="20" t="s">
        <v>73</v>
      </c>
      <c r="B54" s="6">
        <v>15578</v>
      </c>
      <c r="K54" s="20" t="s">
        <v>70</v>
      </c>
      <c r="L54" s="6">
        <v>38500</v>
      </c>
      <c r="M54" t="s">
        <v>18</v>
      </c>
      <c r="N54" s="64">
        <v>199202203</v>
      </c>
    </row>
    <row r="55" spans="1:14" x14ac:dyDescent="0.3">
      <c r="A55" s="20" t="s">
        <v>75</v>
      </c>
      <c r="B55" s="6">
        <v>4000</v>
      </c>
      <c r="K55" s="20" t="s">
        <v>72</v>
      </c>
      <c r="L55" s="6">
        <v>40700</v>
      </c>
      <c r="M55" t="s">
        <v>18</v>
      </c>
      <c r="N55" s="64">
        <v>199204</v>
      </c>
    </row>
    <row r="56" spans="1:14" x14ac:dyDescent="0.3">
      <c r="A56" s="20" t="s">
        <v>74</v>
      </c>
      <c r="B56" s="6">
        <v>140</v>
      </c>
      <c r="K56" s="20" t="s">
        <v>73</v>
      </c>
      <c r="L56" s="6">
        <v>15578</v>
      </c>
      <c r="M56" t="s">
        <v>18</v>
      </c>
      <c r="N56" s="64">
        <v>199205206</v>
      </c>
    </row>
    <row r="57" spans="1:14" ht="17.25" thickBot="1" x14ac:dyDescent="0.35">
      <c r="A57" s="20" t="s">
        <v>77</v>
      </c>
      <c r="B57" s="6">
        <v>602</v>
      </c>
      <c r="D57" s="83" t="s">
        <v>121</v>
      </c>
      <c r="E57" s="84"/>
      <c r="F57" s="84"/>
      <c r="G57" s="84"/>
      <c r="K57" s="20" t="s">
        <v>75</v>
      </c>
      <c r="L57" s="6">
        <v>51</v>
      </c>
      <c r="M57" t="s">
        <v>18</v>
      </c>
      <c r="N57" s="64" t="s">
        <v>240</v>
      </c>
    </row>
    <row r="58" spans="1:14" ht="17.25" thickBot="1" x14ac:dyDescent="0.35">
      <c r="A58" s="20" t="s">
        <v>78</v>
      </c>
      <c r="B58" s="6">
        <v>97777</v>
      </c>
      <c r="K58" s="20" t="s">
        <v>74</v>
      </c>
      <c r="L58" s="6">
        <v>50</v>
      </c>
      <c r="M58" t="s">
        <v>18</v>
      </c>
      <c r="N58" s="65" t="s">
        <v>242</v>
      </c>
    </row>
    <row r="59" spans="1:14" x14ac:dyDescent="0.3">
      <c r="A59" s="20" t="s">
        <v>83</v>
      </c>
      <c r="B59" s="6">
        <v>4532</v>
      </c>
      <c r="K59" t="s">
        <v>11</v>
      </c>
      <c r="L59">
        <f>60*1.28</f>
        <v>76.8</v>
      </c>
      <c r="M59" t="s">
        <v>20</v>
      </c>
      <c r="N59" s="63" t="s">
        <v>351</v>
      </c>
    </row>
    <row r="60" spans="1:14" x14ac:dyDescent="0.3">
      <c r="A60" s="20" t="s">
        <v>42</v>
      </c>
      <c r="B60" s="6">
        <v>102</v>
      </c>
      <c r="K60" t="s">
        <v>10</v>
      </c>
      <c r="L60">
        <f>50*1.28</f>
        <v>64</v>
      </c>
      <c r="M60" t="s">
        <v>20</v>
      </c>
      <c r="N60" s="64" t="s">
        <v>352</v>
      </c>
    </row>
    <row r="61" spans="1:14" x14ac:dyDescent="0.3">
      <c r="A61" s="20" t="s">
        <v>65</v>
      </c>
      <c r="B61" s="6">
        <v>19676</v>
      </c>
      <c r="K61" t="s">
        <v>15</v>
      </c>
      <c r="L61">
        <f>57*1.28</f>
        <v>72.960000000000008</v>
      </c>
      <c r="M61" t="s">
        <v>20</v>
      </c>
      <c r="N61" s="64" t="s">
        <v>353</v>
      </c>
    </row>
    <row r="62" spans="1:14" x14ac:dyDescent="0.3">
      <c r="A62" s="20" t="s">
        <v>40</v>
      </c>
      <c r="B62" s="6">
        <v>138</v>
      </c>
      <c r="K62" s="20" t="s">
        <v>77</v>
      </c>
      <c r="L62" s="6">
        <v>602</v>
      </c>
      <c r="M62" t="s">
        <v>18</v>
      </c>
      <c r="N62" s="63">
        <v>11</v>
      </c>
    </row>
    <row r="63" spans="1:14" x14ac:dyDescent="0.3">
      <c r="A63" s="20" t="s">
        <v>80</v>
      </c>
      <c r="B63" s="6">
        <v>380599</v>
      </c>
      <c r="K63" s="20" t="s">
        <v>78</v>
      </c>
      <c r="L63" s="6">
        <v>97777</v>
      </c>
      <c r="M63" t="s">
        <v>20</v>
      </c>
      <c r="N63" s="63" t="s">
        <v>354</v>
      </c>
    </row>
    <row r="64" spans="1:14" ht="33" x14ac:dyDescent="0.3">
      <c r="A64" s="22" t="s">
        <v>104</v>
      </c>
      <c r="B64" s="6">
        <v>52358</v>
      </c>
      <c r="M64" t="s">
        <v>18</v>
      </c>
    </row>
    <row r="65" spans="1:14" x14ac:dyDescent="0.3">
      <c r="A65" s="20" t="s">
        <v>103</v>
      </c>
      <c r="B65" s="6">
        <v>44085</v>
      </c>
      <c r="K65" s="20" t="s">
        <v>83</v>
      </c>
      <c r="L65" s="6">
        <v>9532</v>
      </c>
      <c r="M65" t="s">
        <v>18</v>
      </c>
      <c r="N65" s="63" t="s">
        <v>355</v>
      </c>
    </row>
    <row r="66" spans="1:14" x14ac:dyDescent="0.3">
      <c r="A66" s="20" t="s">
        <v>85</v>
      </c>
      <c r="B66" s="6">
        <v>31218</v>
      </c>
      <c r="K66" s="20" t="s">
        <v>42</v>
      </c>
      <c r="L66" s="6">
        <v>159</v>
      </c>
      <c r="M66" t="s">
        <v>18</v>
      </c>
      <c r="N66" s="63" t="s">
        <v>356</v>
      </c>
    </row>
    <row r="67" spans="1:14" x14ac:dyDescent="0.3">
      <c r="A67" s="20" t="s">
        <v>86</v>
      </c>
      <c r="B67" s="6">
        <v>30.19</v>
      </c>
      <c r="K67" s="20" t="s">
        <v>65</v>
      </c>
      <c r="L67" s="6">
        <v>19676</v>
      </c>
      <c r="M67" t="s">
        <v>18</v>
      </c>
      <c r="N67" s="63" t="s">
        <v>357</v>
      </c>
    </row>
    <row r="68" spans="1:14" x14ac:dyDescent="0.3">
      <c r="A68" s="20" t="s">
        <v>36</v>
      </c>
      <c r="B68" s="6">
        <v>12098</v>
      </c>
      <c r="K68" s="20" t="s">
        <v>40</v>
      </c>
      <c r="L68" s="6">
        <v>138</v>
      </c>
      <c r="M68" t="s">
        <v>18</v>
      </c>
      <c r="N68" s="63" t="s">
        <v>347</v>
      </c>
    </row>
    <row r="69" spans="1:14" x14ac:dyDescent="0.3">
      <c r="A69" s="20" t="s">
        <v>90</v>
      </c>
      <c r="B69" s="6">
        <v>5980</v>
      </c>
      <c r="K69" s="20" t="s">
        <v>80</v>
      </c>
      <c r="L69" s="6">
        <v>380599</v>
      </c>
      <c r="M69" t="s">
        <v>18</v>
      </c>
      <c r="N69" s="63" t="s">
        <v>358</v>
      </c>
    </row>
    <row r="70" spans="1:14" ht="33" x14ac:dyDescent="0.3">
      <c r="A70" s="20" t="s">
        <v>88</v>
      </c>
      <c r="B70" s="6">
        <v>630</v>
      </c>
      <c r="K70" s="22" t="s">
        <v>104</v>
      </c>
      <c r="L70" s="6">
        <v>56300</v>
      </c>
      <c r="M70" t="s">
        <v>18</v>
      </c>
      <c r="N70" s="63" t="s">
        <v>359</v>
      </c>
    </row>
    <row r="71" spans="1:14" x14ac:dyDescent="0.3">
      <c r="A71" s="20" t="s">
        <v>89</v>
      </c>
      <c r="B71" s="6">
        <v>6552</v>
      </c>
      <c r="J71" s="32" t="s">
        <v>20</v>
      </c>
      <c r="K71" s="20" t="s">
        <v>103</v>
      </c>
      <c r="L71" s="6">
        <v>45100</v>
      </c>
      <c r="M71" t="s">
        <v>20</v>
      </c>
      <c r="N71" s="63" t="s">
        <v>360</v>
      </c>
    </row>
    <row r="72" spans="1:14" x14ac:dyDescent="0.3">
      <c r="A72" s="20" t="s">
        <v>91</v>
      </c>
      <c r="B72" s="6">
        <v>14112</v>
      </c>
      <c r="K72" t="s">
        <v>9</v>
      </c>
      <c r="L72">
        <f>58.11*1.28</f>
        <v>74.380800000000008</v>
      </c>
      <c r="M72" t="s">
        <v>20</v>
      </c>
      <c r="N72" s="63" t="s">
        <v>361</v>
      </c>
    </row>
    <row r="73" spans="1:14" x14ac:dyDescent="0.3">
      <c r="A73" s="20" t="s">
        <v>32</v>
      </c>
      <c r="B73" s="6">
        <v>43810</v>
      </c>
      <c r="K73" t="s">
        <v>17</v>
      </c>
      <c r="L73">
        <f>45*1.28</f>
        <v>57.6</v>
      </c>
      <c r="M73" t="s">
        <v>20</v>
      </c>
      <c r="N73" s="63" t="s">
        <v>362</v>
      </c>
    </row>
    <row r="74" spans="1:14" x14ac:dyDescent="0.3">
      <c r="A74" s="20" t="s">
        <v>92</v>
      </c>
      <c r="B74" s="6">
        <v>28219</v>
      </c>
      <c r="K74" s="20" t="s">
        <v>85</v>
      </c>
      <c r="L74" s="6">
        <v>31218</v>
      </c>
      <c r="M74" t="s">
        <v>18</v>
      </c>
      <c r="N74" s="63" t="s">
        <v>363</v>
      </c>
    </row>
    <row r="75" spans="1:14" x14ac:dyDescent="0.3">
      <c r="A75" s="20" t="s">
        <v>82</v>
      </c>
      <c r="B75" s="6">
        <v>417</v>
      </c>
      <c r="K75" s="20" t="s">
        <v>86</v>
      </c>
      <c r="L75" s="6">
        <v>30.19</v>
      </c>
      <c r="M75" t="s">
        <v>18</v>
      </c>
      <c r="N75" s="63" t="s">
        <v>347</v>
      </c>
    </row>
    <row r="76" spans="1:14" ht="33" x14ac:dyDescent="0.3">
      <c r="A76" s="21" t="s">
        <v>95</v>
      </c>
      <c r="B76" s="6">
        <v>27051</v>
      </c>
      <c r="K76" s="20" t="s">
        <v>36</v>
      </c>
      <c r="L76" s="6">
        <v>12098</v>
      </c>
      <c r="M76" t="s">
        <v>18</v>
      </c>
      <c r="N76" s="63" t="s">
        <v>364</v>
      </c>
    </row>
    <row r="77" spans="1:14" ht="33" x14ac:dyDescent="0.3">
      <c r="A77" s="21" t="s">
        <v>93</v>
      </c>
      <c r="B77" s="6">
        <v>46000</v>
      </c>
      <c r="K77" s="20" t="s">
        <v>90</v>
      </c>
      <c r="L77" s="6">
        <v>5980</v>
      </c>
      <c r="M77" t="s">
        <v>18</v>
      </c>
      <c r="N77" s="63" t="s">
        <v>279</v>
      </c>
    </row>
    <row r="78" spans="1:14" ht="33.75" thickBot="1" x14ac:dyDescent="0.35">
      <c r="A78" s="21" t="s">
        <v>94</v>
      </c>
      <c r="B78" s="6">
        <v>46060</v>
      </c>
      <c r="K78" s="20" t="s">
        <v>88</v>
      </c>
      <c r="L78" s="6">
        <v>630</v>
      </c>
      <c r="M78" t="s">
        <v>18</v>
      </c>
      <c r="N78" s="63" t="s">
        <v>281</v>
      </c>
    </row>
    <row r="79" spans="1:14" ht="33.75" thickBot="1" x14ac:dyDescent="0.35">
      <c r="A79" s="21" t="s">
        <v>97</v>
      </c>
      <c r="B79" s="6">
        <v>25848</v>
      </c>
      <c r="K79" s="20" t="s">
        <v>120</v>
      </c>
      <c r="L79" s="6">
        <v>180000</v>
      </c>
      <c r="M79" t="s">
        <v>18</v>
      </c>
      <c r="N79" s="66" t="s">
        <v>283</v>
      </c>
    </row>
    <row r="80" spans="1:14" ht="33" x14ac:dyDescent="0.3">
      <c r="A80" s="21" t="s">
        <v>96</v>
      </c>
      <c r="B80" s="6">
        <v>22113</v>
      </c>
      <c r="K80" s="20" t="s">
        <v>91</v>
      </c>
      <c r="L80" s="6">
        <v>14112</v>
      </c>
      <c r="M80" t="s">
        <v>18</v>
      </c>
      <c r="N80" s="63" t="s">
        <v>285</v>
      </c>
    </row>
    <row r="81" spans="1:14" x14ac:dyDescent="0.3">
      <c r="A81" s="20" t="s">
        <v>100</v>
      </c>
      <c r="B81" s="6">
        <v>17949</v>
      </c>
      <c r="K81" t="s">
        <v>113</v>
      </c>
      <c r="L81" s="6">
        <v>4000</v>
      </c>
      <c r="M81" t="s">
        <v>18</v>
      </c>
    </row>
    <row r="82" spans="1:14" x14ac:dyDescent="0.3">
      <c r="A82" s="20" t="s">
        <v>101</v>
      </c>
      <c r="B82" s="6">
        <v>17367</v>
      </c>
      <c r="K82" s="20" t="s">
        <v>32</v>
      </c>
      <c r="L82" s="6">
        <v>22810</v>
      </c>
      <c r="M82" t="s">
        <v>18</v>
      </c>
      <c r="N82" s="64">
        <v>153275</v>
      </c>
    </row>
    <row r="83" spans="1:14" x14ac:dyDescent="0.3">
      <c r="A83" s="20" t="s">
        <v>84</v>
      </c>
      <c r="B83" s="6">
        <v>47238</v>
      </c>
      <c r="K83" s="20" t="s">
        <v>92</v>
      </c>
      <c r="L83" s="6">
        <v>28219</v>
      </c>
      <c r="M83" t="s">
        <v>18</v>
      </c>
      <c r="N83" s="63" t="s">
        <v>365</v>
      </c>
    </row>
    <row r="84" spans="1:14" ht="17.25" thickBot="1" x14ac:dyDescent="0.35">
      <c r="A84" s="20" t="s">
        <v>99</v>
      </c>
      <c r="B84" s="6">
        <v>6513</v>
      </c>
      <c r="K84" t="s">
        <v>79</v>
      </c>
      <c r="L84">
        <v>127.12</v>
      </c>
      <c r="M84" t="s">
        <v>20</v>
      </c>
      <c r="N84" s="63" t="s">
        <v>366</v>
      </c>
    </row>
    <row r="85" spans="1:14" ht="17.25" thickBot="1" x14ac:dyDescent="0.35">
      <c r="A85" s="20" t="s">
        <v>98</v>
      </c>
      <c r="B85" s="6">
        <v>2810</v>
      </c>
      <c r="J85" s="33"/>
      <c r="K85" t="s">
        <v>16</v>
      </c>
      <c r="L85">
        <f>47*1.28</f>
        <v>60.160000000000004</v>
      </c>
      <c r="M85" t="s">
        <v>18</v>
      </c>
      <c r="N85" s="63" t="s">
        <v>367</v>
      </c>
    </row>
    <row r="86" spans="1:14" x14ac:dyDescent="0.3">
      <c r="K86" s="20" t="s">
        <v>82</v>
      </c>
      <c r="L86" s="6">
        <v>417</v>
      </c>
      <c r="M86" t="s">
        <v>18</v>
      </c>
      <c r="N86" s="63" t="s">
        <v>368</v>
      </c>
    </row>
    <row r="87" spans="1:14" ht="33" x14ac:dyDescent="0.3">
      <c r="K87" s="21" t="s">
        <v>95</v>
      </c>
      <c r="L87" s="6">
        <v>8940</v>
      </c>
      <c r="M87" t="s">
        <v>18</v>
      </c>
      <c r="N87" s="63" t="s">
        <v>369</v>
      </c>
    </row>
    <row r="88" spans="1:14" ht="33" x14ac:dyDescent="0.3">
      <c r="K88" s="21" t="s">
        <v>93</v>
      </c>
      <c r="L88" s="6">
        <v>46000</v>
      </c>
      <c r="M88" t="s">
        <v>18</v>
      </c>
      <c r="N88" s="63" t="s">
        <v>301</v>
      </c>
    </row>
    <row r="89" spans="1:14" ht="33" x14ac:dyDescent="0.3">
      <c r="K89" s="21" t="s">
        <v>94</v>
      </c>
      <c r="L89" s="6">
        <v>9200</v>
      </c>
      <c r="M89" t="s">
        <v>18</v>
      </c>
      <c r="N89" s="63" t="s">
        <v>303</v>
      </c>
    </row>
    <row r="90" spans="1:14" ht="33" x14ac:dyDescent="0.3">
      <c r="K90" s="21" t="s">
        <v>97</v>
      </c>
      <c r="L90" s="6">
        <v>25848</v>
      </c>
      <c r="M90" t="s">
        <v>18</v>
      </c>
      <c r="N90" s="63" t="s">
        <v>306</v>
      </c>
    </row>
    <row r="91" spans="1:14" ht="33" x14ac:dyDescent="0.3">
      <c r="K91" s="21" t="s">
        <v>96</v>
      </c>
      <c r="L91" s="6">
        <v>7540</v>
      </c>
      <c r="M91" t="s">
        <v>18</v>
      </c>
      <c r="N91" s="63" t="s">
        <v>308</v>
      </c>
    </row>
    <row r="92" spans="1:14" x14ac:dyDescent="0.3">
      <c r="K92" s="20" t="s">
        <v>100</v>
      </c>
      <c r="L92" s="6">
        <v>17949</v>
      </c>
      <c r="M92" t="s">
        <v>18</v>
      </c>
      <c r="N92" s="63" t="s">
        <v>310</v>
      </c>
    </row>
    <row r="93" spans="1:14" x14ac:dyDescent="0.3">
      <c r="K93" s="20" t="s">
        <v>101</v>
      </c>
      <c r="L93" s="6">
        <v>17367</v>
      </c>
      <c r="M93" t="s">
        <v>18</v>
      </c>
      <c r="N93" s="63">
        <v>11</v>
      </c>
    </row>
    <row r="94" spans="1:14" x14ac:dyDescent="0.3">
      <c r="K94" s="20" t="s">
        <v>84</v>
      </c>
      <c r="L94" s="6">
        <v>47238</v>
      </c>
      <c r="M94" t="s">
        <v>18</v>
      </c>
      <c r="N94" s="63" t="s">
        <v>313</v>
      </c>
    </row>
    <row r="95" spans="1:14" x14ac:dyDescent="0.3">
      <c r="K95" s="20" t="s">
        <v>99</v>
      </c>
      <c r="L95" s="6">
        <v>6513</v>
      </c>
      <c r="M95" t="s">
        <v>18</v>
      </c>
      <c r="N95" s="63" t="s">
        <v>370</v>
      </c>
    </row>
    <row r="96" spans="1:14" x14ac:dyDescent="0.3">
      <c r="K96" s="20" t="s">
        <v>98</v>
      </c>
      <c r="L96" s="6">
        <v>10800</v>
      </c>
      <c r="M96" t="s">
        <v>18</v>
      </c>
      <c r="N96" s="63" t="s">
        <v>371</v>
      </c>
    </row>
  </sheetData>
  <sortState xmlns:xlrd2="http://schemas.microsoft.com/office/spreadsheetml/2017/richdata2" ref="J2:M95">
    <sortCondition ref="K1:K95"/>
  </sortState>
  <mergeCells count="1">
    <mergeCell ref="D57:G57"/>
  </mergeCells>
  <dataValidations count="2">
    <dataValidation allowBlank="1" showInputMessage="1" showErrorMessage="1" promptTitle="Supply Costs" prompt="Input your supply costs here. They will automatically update in the calculator. " sqref="L81" xr:uid="{649EB2E5-66F5-409D-B5F2-B55F8AB9A3BD}"/>
    <dataValidation allowBlank="1" showInputMessage="1" showErrorMessage="1" promptTitle="Input Wage Data" prompt="Input your wage data here. We have included benefits in our average RN hourly rate. " sqref="L72" xr:uid="{2B9B24F6-E66F-4B20-9C2E-7A73DD353008}"/>
  </dataValidations>
  <hyperlinks>
    <hyperlink ref="D57" r:id="rId1" xr:uid="{15CC8A3A-BFF8-491D-8692-678F6452A52F}"/>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1F50-81BC-4E10-A1A3-CEDB6B09069D}">
  <dimension ref="A1:C97"/>
  <sheetViews>
    <sheetView workbookViewId="0">
      <selection activeCell="F5" sqref="F5"/>
    </sheetView>
  </sheetViews>
  <sheetFormatPr defaultRowHeight="16.5" x14ac:dyDescent="0.3"/>
  <cols>
    <col min="1" max="1" width="15.5546875" style="62" bestFit="1" customWidth="1"/>
    <col min="2" max="2" width="13.88671875" style="62" customWidth="1"/>
    <col min="3" max="3" width="47" style="62" bestFit="1" customWidth="1"/>
  </cols>
  <sheetData>
    <row r="1" spans="1:3" ht="17.25" thickBot="1" x14ac:dyDescent="0.35">
      <c r="A1" s="52" t="s">
        <v>125</v>
      </c>
      <c r="B1" s="53" t="s">
        <v>108</v>
      </c>
      <c r="C1" s="54" t="s">
        <v>124</v>
      </c>
    </row>
    <row r="2" spans="1:3" ht="166.5" thickBot="1" x14ac:dyDescent="0.35">
      <c r="A2" s="55" t="s">
        <v>67</v>
      </c>
      <c r="B2" s="56" t="s">
        <v>126</v>
      </c>
      <c r="C2" s="57" t="s">
        <v>127</v>
      </c>
    </row>
    <row r="3" spans="1:3" ht="64.5" thickBot="1" x14ac:dyDescent="0.35">
      <c r="A3" s="55" t="s">
        <v>38</v>
      </c>
      <c r="B3" s="56" t="s">
        <v>128</v>
      </c>
      <c r="C3" s="58" t="s">
        <v>129</v>
      </c>
    </row>
    <row r="4" spans="1:3" ht="77.25" thickBot="1" x14ac:dyDescent="0.35">
      <c r="A4" s="55" t="s">
        <v>28</v>
      </c>
      <c r="B4" s="56" t="s">
        <v>130</v>
      </c>
      <c r="C4" s="57" t="s">
        <v>131</v>
      </c>
    </row>
    <row r="5" spans="1:3" ht="115.5" thickBot="1" x14ac:dyDescent="0.35">
      <c r="A5" s="55" t="s">
        <v>30</v>
      </c>
      <c r="B5" s="56" t="s">
        <v>132</v>
      </c>
      <c r="C5" s="58" t="s">
        <v>133</v>
      </c>
    </row>
    <row r="6" spans="1:3" ht="77.25" thickBot="1" x14ac:dyDescent="0.35">
      <c r="A6" s="55" t="s">
        <v>29</v>
      </c>
      <c r="B6" s="56" t="s">
        <v>134</v>
      </c>
      <c r="C6" s="58" t="s">
        <v>135</v>
      </c>
    </row>
    <row r="7" spans="1:3" ht="128.25" thickBot="1" x14ac:dyDescent="0.35">
      <c r="A7" s="55" t="s">
        <v>31</v>
      </c>
      <c r="B7" s="56" t="s">
        <v>136</v>
      </c>
      <c r="C7" s="57" t="s">
        <v>137</v>
      </c>
    </row>
    <row r="8" spans="1:3" ht="77.25" thickBot="1" x14ac:dyDescent="0.35">
      <c r="A8" s="55" t="s">
        <v>39</v>
      </c>
      <c r="B8" s="56" t="s">
        <v>138</v>
      </c>
      <c r="C8" s="58" t="s">
        <v>139</v>
      </c>
    </row>
    <row r="9" spans="1:3" ht="39" thickBot="1" x14ac:dyDescent="0.35">
      <c r="A9" s="55" t="s">
        <v>140</v>
      </c>
      <c r="B9" s="56" t="s">
        <v>141</v>
      </c>
      <c r="C9" s="57" t="s">
        <v>142</v>
      </c>
    </row>
    <row r="10" spans="1:3" ht="179.25" thickBot="1" x14ac:dyDescent="0.35">
      <c r="A10" s="55" t="s">
        <v>69</v>
      </c>
      <c r="B10" s="56" t="s">
        <v>143</v>
      </c>
      <c r="C10" s="57" t="s">
        <v>144</v>
      </c>
    </row>
    <row r="11" spans="1:3" ht="90" thickBot="1" x14ac:dyDescent="0.35">
      <c r="A11" s="55" t="s">
        <v>44</v>
      </c>
      <c r="B11" s="56" t="s">
        <v>145</v>
      </c>
      <c r="C11" s="58" t="s">
        <v>146</v>
      </c>
    </row>
    <row r="12" spans="1:3" ht="51.75" thickBot="1" x14ac:dyDescent="0.35">
      <c r="A12" s="55" t="s">
        <v>45</v>
      </c>
      <c r="B12" s="56" t="s">
        <v>147</v>
      </c>
      <c r="C12" s="58" t="s">
        <v>148</v>
      </c>
    </row>
    <row r="13" spans="1:3" ht="102.75" thickBot="1" x14ac:dyDescent="0.35">
      <c r="A13" s="55" t="s">
        <v>76</v>
      </c>
      <c r="B13" s="56" t="s">
        <v>149</v>
      </c>
      <c r="C13" s="58" t="s">
        <v>150</v>
      </c>
    </row>
    <row r="14" spans="1:3" ht="102.75" thickBot="1" x14ac:dyDescent="0.35">
      <c r="A14" s="55" t="s">
        <v>63</v>
      </c>
      <c r="B14" s="56" t="s">
        <v>151</v>
      </c>
      <c r="C14" s="57" t="s">
        <v>152</v>
      </c>
    </row>
    <row r="15" spans="1:3" ht="102.75" thickBot="1" x14ac:dyDescent="0.35">
      <c r="A15" s="55" t="s">
        <v>46</v>
      </c>
      <c r="B15" s="56" t="s">
        <v>153</v>
      </c>
      <c r="C15" s="58" t="s">
        <v>154</v>
      </c>
    </row>
    <row r="16" spans="1:3" ht="64.5" thickBot="1" x14ac:dyDescent="0.35">
      <c r="A16" s="55" t="s">
        <v>115</v>
      </c>
      <c r="B16" s="56" t="s">
        <v>155</v>
      </c>
      <c r="C16" s="57" t="s">
        <v>156</v>
      </c>
    </row>
    <row r="17" spans="1:3" ht="64.5" thickBot="1" x14ac:dyDescent="0.35">
      <c r="A17" s="55" t="s">
        <v>116</v>
      </c>
      <c r="B17" s="56" t="s">
        <v>157</v>
      </c>
      <c r="C17" s="57" t="s">
        <v>158</v>
      </c>
    </row>
    <row r="18" spans="1:3" ht="64.5" thickBot="1" x14ac:dyDescent="0.35">
      <c r="A18" s="55" t="s">
        <v>114</v>
      </c>
      <c r="B18" s="56" t="s">
        <v>159</v>
      </c>
      <c r="C18" s="57" t="s">
        <v>160</v>
      </c>
    </row>
    <row r="19" spans="1:3" ht="102.75" thickBot="1" x14ac:dyDescent="0.35">
      <c r="A19" s="55" t="s">
        <v>47</v>
      </c>
      <c r="B19" s="56" t="s">
        <v>161</v>
      </c>
      <c r="C19" s="57" t="s">
        <v>162</v>
      </c>
    </row>
    <row r="20" spans="1:3" ht="128.25" thickBot="1" x14ac:dyDescent="0.35">
      <c r="A20" s="55" t="s">
        <v>21</v>
      </c>
      <c r="B20" s="56" t="s">
        <v>163</v>
      </c>
      <c r="C20" s="58" t="s">
        <v>164</v>
      </c>
    </row>
    <row r="21" spans="1:3" ht="141" thickBot="1" x14ac:dyDescent="0.35">
      <c r="A21" s="55" t="s">
        <v>12</v>
      </c>
      <c r="B21" s="56" t="s">
        <v>165</v>
      </c>
      <c r="C21" s="57" t="s">
        <v>166</v>
      </c>
    </row>
    <row r="22" spans="1:3" ht="102.75" thickBot="1" x14ac:dyDescent="0.35">
      <c r="A22" s="55" t="s">
        <v>22</v>
      </c>
      <c r="B22" s="56" t="s">
        <v>167</v>
      </c>
      <c r="C22" s="58" t="s">
        <v>168</v>
      </c>
    </row>
    <row r="23" spans="1:3" ht="102.75" thickBot="1" x14ac:dyDescent="0.35">
      <c r="A23" s="55" t="s">
        <v>13</v>
      </c>
      <c r="B23" s="56" t="s">
        <v>169</v>
      </c>
      <c r="C23" s="57" t="s">
        <v>170</v>
      </c>
    </row>
    <row r="24" spans="1:3" ht="128.25" thickBot="1" x14ac:dyDescent="0.35">
      <c r="A24" s="55" t="s">
        <v>64</v>
      </c>
      <c r="B24" s="56" t="s">
        <v>171</v>
      </c>
      <c r="C24" s="57" t="s">
        <v>172</v>
      </c>
    </row>
    <row r="25" spans="1:3" ht="179.25" thickBot="1" x14ac:dyDescent="0.35">
      <c r="A25" s="55" t="s">
        <v>68</v>
      </c>
      <c r="B25" s="56" t="s">
        <v>173</v>
      </c>
      <c r="C25" s="57" t="s">
        <v>174</v>
      </c>
    </row>
    <row r="26" spans="1:3" ht="90" thickBot="1" x14ac:dyDescent="0.35">
      <c r="A26" s="55" t="s">
        <v>14</v>
      </c>
      <c r="B26" s="56" t="s">
        <v>175</v>
      </c>
      <c r="C26" s="58" t="s">
        <v>176</v>
      </c>
    </row>
    <row r="27" spans="1:3" ht="141" thickBot="1" x14ac:dyDescent="0.35">
      <c r="A27" s="55" t="s">
        <v>37</v>
      </c>
      <c r="B27" s="56" t="s">
        <v>177</v>
      </c>
      <c r="C27" s="58" t="s">
        <v>178</v>
      </c>
    </row>
    <row r="28" spans="1:3" ht="153.75" thickBot="1" x14ac:dyDescent="0.35">
      <c r="A28" s="55" t="s">
        <v>52</v>
      </c>
      <c r="B28" s="56" t="s">
        <v>179</v>
      </c>
      <c r="C28" s="57" t="s">
        <v>180</v>
      </c>
    </row>
    <row r="29" spans="1:3" ht="77.25" thickBot="1" x14ac:dyDescent="0.35">
      <c r="A29" s="55" t="s">
        <v>50</v>
      </c>
      <c r="B29" s="56" t="s">
        <v>181</v>
      </c>
      <c r="C29" s="58" t="s">
        <v>182</v>
      </c>
    </row>
    <row r="30" spans="1:3" ht="115.5" thickBot="1" x14ac:dyDescent="0.35">
      <c r="A30" s="55" t="s">
        <v>183</v>
      </c>
      <c r="B30" s="56" t="s">
        <v>184</v>
      </c>
      <c r="C30" s="58" t="s">
        <v>185</v>
      </c>
    </row>
    <row r="31" spans="1:3" ht="90" thickBot="1" x14ac:dyDescent="0.35">
      <c r="A31" s="55" t="s">
        <v>102</v>
      </c>
      <c r="B31" s="56" t="s">
        <v>186</v>
      </c>
      <c r="C31" s="58" t="s">
        <v>187</v>
      </c>
    </row>
    <row r="32" spans="1:3" ht="90" thickBot="1" x14ac:dyDescent="0.35">
      <c r="A32" s="55" t="s">
        <v>53</v>
      </c>
      <c r="B32" s="56" t="s">
        <v>188</v>
      </c>
      <c r="C32" s="58" t="s">
        <v>189</v>
      </c>
    </row>
    <row r="33" spans="1:3" ht="64.5" thickBot="1" x14ac:dyDescent="0.35">
      <c r="A33" s="55" t="s">
        <v>66</v>
      </c>
      <c r="B33" s="56" t="s">
        <v>190</v>
      </c>
      <c r="C33" s="57" t="s">
        <v>191</v>
      </c>
    </row>
    <row r="34" spans="1:3" ht="166.5" thickBot="1" x14ac:dyDescent="0.35">
      <c r="A34" s="55" t="s">
        <v>23</v>
      </c>
      <c r="B34" s="56" t="s">
        <v>192</v>
      </c>
      <c r="C34" s="58" t="s">
        <v>193</v>
      </c>
    </row>
    <row r="35" spans="1:3" ht="77.25" thickBot="1" x14ac:dyDescent="0.35">
      <c r="A35" s="55" t="s">
        <v>194</v>
      </c>
      <c r="B35" s="56" t="s">
        <v>195</v>
      </c>
      <c r="C35" s="57" t="s">
        <v>196</v>
      </c>
    </row>
    <row r="36" spans="1:3" ht="102.75" thickBot="1" x14ac:dyDescent="0.35">
      <c r="A36" s="55" t="s">
        <v>24</v>
      </c>
      <c r="B36" s="56" t="s">
        <v>197</v>
      </c>
      <c r="C36" s="58" t="s">
        <v>198</v>
      </c>
    </row>
    <row r="37" spans="1:3" ht="77.25" thickBot="1" x14ac:dyDescent="0.35">
      <c r="A37" s="55" t="s">
        <v>25</v>
      </c>
      <c r="B37" s="56" t="s">
        <v>199</v>
      </c>
      <c r="C37" s="57" t="s">
        <v>200</v>
      </c>
    </row>
    <row r="38" spans="1:3" ht="166.5" thickBot="1" x14ac:dyDescent="0.35">
      <c r="A38" s="55" t="s">
        <v>54</v>
      </c>
      <c r="B38" s="56" t="s">
        <v>201</v>
      </c>
      <c r="C38" s="58" t="s">
        <v>202</v>
      </c>
    </row>
    <row r="39" spans="1:3" ht="77.25" thickBot="1" x14ac:dyDescent="0.35">
      <c r="A39" s="55" t="s">
        <v>55</v>
      </c>
      <c r="B39" s="56" t="s">
        <v>203</v>
      </c>
      <c r="C39" s="58" t="s">
        <v>204</v>
      </c>
    </row>
    <row r="40" spans="1:3" ht="179.25" thickBot="1" x14ac:dyDescent="0.35">
      <c r="A40" s="55" t="s">
        <v>105</v>
      </c>
      <c r="B40" s="56" t="s">
        <v>205</v>
      </c>
      <c r="C40" s="58" t="s">
        <v>206</v>
      </c>
    </row>
    <row r="41" spans="1:3" ht="128.25" thickBot="1" x14ac:dyDescent="0.35">
      <c r="A41" s="55" t="s">
        <v>56</v>
      </c>
      <c r="B41" s="56" t="s">
        <v>207</v>
      </c>
      <c r="C41" s="58" t="s">
        <v>208</v>
      </c>
    </row>
    <row r="42" spans="1:3" ht="115.5" thickBot="1" x14ac:dyDescent="0.35">
      <c r="A42" s="55" t="s">
        <v>43</v>
      </c>
      <c r="B42" s="56" t="s">
        <v>209</v>
      </c>
      <c r="C42" s="57" t="s">
        <v>210</v>
      </c>
    </row>
    <row r="43" spans="1:3" ht="115.5" thickBot="1" x14ac:dyDescent="0.35">
      <c r="A43" s="55" t="s">
        <v>57</v>
      </c>
      <c r="B43" s="56" t="s">
        <v>211</v>
      </c>
      <c r="C43" s="58" t="s">
        <v>212</v>
      </c>
    </row>
    <row r="44" spans="1:3" ht="64.5" thickBot="1" x14ac:dyDescent="0.35">
      <c r="A44" s="55" t="s">
        <v>87</v>
      </c>
      <c r="B44" s="56" t="s">
        <v>213</v>
      </c>
      <c r="C44" s="57" t="s">
        <v>191</v>
      </c>
    </row>
    <row r="45" spans="1:3" ht="192" thickBot="1" x14ac:dyDescent="0.35">
      <c r="A45" s="55" t="s">
        <v>58</v>
      </c>
      <c r="B45" s="56" t="s">
        <v>214</v>
      </c>
      <c r="C45" s="58" t="s">
        <v>215</v>
      </c>
    </row>
    <row r="46" spans="1:3" ht="77.25" thickBot="1" x14ac:dyDescent="0.35">
      <c r="A46" s="55" t="s">
        <v>41</v>
      </c>
      <c r="B46" s="56" t="s">
        <v>216</v>
      </c>
      <c r="C46" s="57" t="s">
        <v>191</v>
      </c>
    </row>
    <row r="47" spans="1:3" ht="153.75" thickBot="1" x14ac:dyDescent="0.35">
      <c r="A47" s="55" t="s">
        <v>34</v>
      </c>
      <c r="B47" s="56" t="s">
        <v>217</v>
      </c>
      <c r="C47" s="58" t="s">
        <v>218</v>
      </c>
    </row>
    <row r="48" spans="1:3" ht="115.5" thickBot="1" x14ac:dyDescent="0.35">
      <c r="A48" s="55" t="s">
        <v>59</v>
      </c>
      <c r="B48" s="56" t="s">
        <v>219</v>
      </c>
      <c r="C48" s="57" t="s">
        <v>220</v>
      </c>
    </row>
    <row r="49" spans="1:3" ht="141" thickBot="1" x14ac:dyDescent="0.35">
      <c r="A49" s="55" t="s">
        <v>33</v>
      </c>
      <c r="B49" s="56" t="s">
        <v>221</v>
      </c>
      <c r="C49" s="58" t="s">
        <v>222</v>
      </c>
    </row>
    <row r="50" spans="1:3" ht="102.75" thickBot="1" x14ac:dyDescent="0.35">
      <c r="A50" s="55" t="s">
        <v>35</v>
      </c>
      <c r="B50" s="56" t="s">
        <v>223</v>
      </c>
      <c r="C50" s="57" t="s">
        <v>224</v>
      </c>
    </row>
    <row r="51" spans="1:3" ht="102.75" thickBot="1" x14ac:dyDescent="0.35">
      <c r="A51" s="55" t="s">
        <v>62</v>
      </c>
      <c r="B51" s="56" t="s">
        <v>225</v>
      </c>
      <c r="C51" s="57" t="s">
        <v>226</v>
      </c>
    </row>
    <row r="52" spans="1:3" ht="102.75" thickBot="1" x14ac:dyDescent="0.35">
      <c r="A52" s="55" t="s">
        <v>60</v>
      </c>
      <c r="B52" s="56" t="s">
        <v>227</v>
      </c>
      <c r="C52" s="58" t="s">
        <v>228</v>
      </c>
    </row>
    <row r="53" spans="1:3" ht="141" thickBot="1" x14ac:dyDescent="0.35">
      <c r="A53" s="55" t="s">
        <v>61</v>
      </c>
      <c r="B53" s="56" t="s">
        <v>229</v>
      </c>
      <c r="C53" s="57" t="s">
        <v>230</v>
      </c>
    </row>
    <row r="54" spans="1:3" ht="141" thickBot="1" x14ac:dyDescent="0.35">
      <c r="A54" s="55" t="s">
        <v>71</v>
      </c>
      <c r="B54" s="56" t="s">
        <v>231</v>
      </c>
      <c r="C54" s="58" t="s">
        <v>232</v>
      </c>
    </row>
    <row r="55" spans="1:3" ht="102.75" thickBot="1" x14ac:dyDescent="0.35">
      <c r="A55" s="55" t="s">
        <v>70</v>
      </c>
      <c r="B55" s="56" t="s">
        <v>233</v>
      </c>
      <c r="C55" s="57" t="s">
        <v>234</v>
      </c>
    </row>
    <row r="56" spans="1:3" ht="102.75" thickBot="1" x14ac:dyDescent="0.35">
      <c r="A56" s="55" t="s">
        <v>72</v>
      </c>
      <c r="B56" s="56" t="s">
        <v>235</v>
      </c>
      <c r="C56" s="57" t="s">
        <v>236</v>
      </c>
    </row>
    <row r="57" spans="1:3" ht="90" thickBot="1" x14ac:dyDescent="0.35">
      <c r="A57" s="55" t="s">
        <v>73</v>
      </c>
      <c r="B57" s="56" t="s">
        <v>237</v>
      </c>
      <c r="C57" s="57" t="s">
        <v>238</v>
      </c>
    </row>
    <row r="58" spans="1:3" ht="141" thickBot="1" x14ac:dyDescent="0.35">
      <c r="A58" s="55" t="s">
        <v>75</v>
      </c>
      <c r="B58" s="56" t="s">
        <v>239</v>
      </c>
      <c r="C58" s="58" t="s">
        <v>240</v>
      </c>
    </row>
    <row r="59" spans="1:3" ht="128.25" thickBot="1" x14ac:dyDescent="0.35">
      <c r="A59" s="55" t="s">
        <v>74</v>
      </c>
      <c r="B59" s="56" t="s">
        <v>241</v>
      </c>
      <c r="C59" s="58" t="s">
        <v>242</v>
      </c>
    </row>
    <row r="60" spans="1:3" ht="141" thickBot="1" x14ac:dyDescent="0.35">
      <c r="A60" s="55" t="s">
        <v>11</v>
      </c>
      <c r="B60" s="56" t="s">
        <v>243</v>
      </c>
      <c r="C60" s="57" t="s">
        <v>244</v>
      </c>
    </row>
    <row r="61" spans="1:3" ht="90" thickBot="1" x14ac:dyDescent="0.35">
      <c r="A61" s="55" t="s">
        <v>10</v>
      </c>
      <c r="B61" s="56" t="s">
        <v>245</v>
      </c>
      <c r="C61" s="57" t="s">
        <v>246</v>
      </c>
    </row>
    <row r="62" spans="1:3" ht="166.5" thickBot="1" x14ac:dyDescent="0.35">
      <c r="A62" s="55" t="s">
        <v>15</v>
      </c>
      <c r="B62" s="56" t="s">
        <v>247</v>
      </c>
      <c r="C62" s="57" t="s">
        <v>248</v>
      </c>
    </row>
    <row r="63" spans="1:3" ht="102.75" thickBot="1" x14ac:dyDescent="0.35">
      <c r="A63" s="55" t="s">
        <v>77</v>
      </c>
      <c r="B63" s="56" t="s">
        <v>249</v>
      </c>
      <c r="C63" s="57" t="s">
        <v>131</v>
      </c>
    </row>
    <row r="64" spans="1:3" ht="141" thickBot="1" x14ac:dyDescent="0.35">
      <c r="A64" s="55" t="s">
        <v>78</v>
      </c>
      <c r="B64" s="56" t="s">
        <v>250</v>
      </c>
      <c r="C64" s="58" t="s">
        <v>251</v>
      </c>
    </row>
    <row r="65" spans="1:3" ht="39" thickBot="1" x14ac:dyDescent="0.35">
      <c r="A65" s="55" t="s">
        <v>106</v>
      </c>
      <c r="B65" s="56" t="s">
        <v>252</v>
      </c>
      <c r="C65" s="57" t="s">
        <v>191</v>
      </c>
    </row>
    <row r="66" spans="1:3" ht="166.5" thickBot="1" x14ac:dyDescent="0.35">
      <c r="A66" s="55" t="s">
        <v>83</v>
      </c>
      <c r="B66" s="56" t="s">
        <v>253</v>
      </c>
      <c r="C66" s="58" t="s">
        <v>254</v>
      </c>
    </row>
    <row r="67" spans="1:3" ht="90" thickBot="1" x14ac:dyDescent="0.35">
      <c r="A67" s="55" t="s">
        <v>42</v>
      </c>
      <c r="B67" s="56" t="s">
        <v>255</v>
      </c>
      <c r="C67" s="57" t="s">
        <v>256</v>
      </c>
    </row>
    <row r="68" spans="1:3" ht="141" thickBot="1" x14ac:dyDescent="0.35">
      <c r="A68" s="55" t="s">
        <v>65</v>
      </c>
      <c r="B68" s="56" t="s">
        <v>257</v>
      </c>
      <c r="C68" s="57" t="s">
        <v>258</v>
      </c>
    </row>
    <row r="69" spans="1:3" ht="128.25" thickBot="1" x14ac:dyDescent="0.35">
      <c r="A69" s="55" t="s">
        <v>40</v>
      </c>
      <c r="B69" s="56" t="s">
        <v>259</v>
      </c>
      <c r="C69" s="57" t="s">
        <v>191</v>
      </c>
    </row>
    <row r="70" spans="1:3" ht="153.75" thickBot="1" x14ac:dyDescent="0.35">
      <c r="A70" s="55" t="s">
        <v>80</v>
      </c>
      <c r="B70" s="56" t="s">
        <v>260</v>
      </c>
      <c r="C70" s="58" t="s">
        <v>261</v>
      </c>
    </row>
    <row r="71" spans="1:3" ht="51.75" thickBot="1" x14ac:dyDescent="0.35">
      <c r="A71" s="55" t="s">
        <v>262</v>
      </c>
      <c r="B71" s="56" t="s">
        <v>263</v>
      </c>
      <c r="C71" s="58" t="s">
        <v>264</v>
      </c>
    </row>
    <row r="72" spans="1:3" ht="153.75" thickBot="1" x14ac:dyDescent="0.35">
      <c r="A72" s="55" t="s">
        <v>103</v>
      </c>
      <c r="B72" s="56" t="s">
        <v>265</v>
      </c>
      <c r="C72" s="58" t="s">
        <v>266</v>
      </c>
    </row>
    <row r="73" spans="1:3" ht="141" thickBot="1" x14ac:dyDescent="0.35">
      <c r="A73" s="55" t="s">
        <v>9</v>
      </c>
      <c r="B73" s="56" t="s">
        <v>267</v>
      </c>
      <c r="C73" s="57" t="s">
        <v>268</v>
      </c>
    </row>
    <row r="74" spans="1:3" ht="192" thickBot="1" x14ac:dyDescent="0.35">
      <c r="A74" s="55" t="s">
        <v>17</v>
      </c>
      <c r="B74" s="56" t="s">
        <v>269</v>
      </c>
      <c r="C74" s="57" t="s">
        <v>270</v>
      </c>
    </row>
    <row r="75" spans="1:3" ht="141" thickBot="1" x14ac:dyDescent="0.35">
      <c r="A75" s="55" t="s">
        <v>85</v>
      </c>
      <c r="B75" s="56" t="s">
        <v>271</v>
      </c>
      <c r="C75" s="58" t="s">
        <v>272</v>
      </c>
    </row>
    <row r="76" spans="1:3" ht="51.75" thickBot="1" x14ac:dyDescent="0.35">
      <c r="A76" s="55" t="s">
        <v>86</v>
      </c>
      <c r="B76" s="56" t="s">
        <v>273</v>
      </c>
      <c r="C76" s="57" t="s">
        <v>191</v>
      </c>
    </row>
    <row r="77" spans="1:3" ht="128.25" thickBot="1" x14ac:dyDescent="0.35">
      <c r="A77" s="55" t="s">
        <v>274</v>
      </c>
      <c r="B77" s="56" t="s">
        <v>275</v>
      </c>
      <c r="C77" s="58" t="s">
        <v>276</v>
      </c>
    </row>
    <row r="78" spans="1:3" ht="64.5" thickBot="1" x14ac:dyDescent="0.35">
      <c r="A78" s="55" t="s">
        <v>277</v>
      </c>
      <c r="B78" s="56" t="s">
        <v>278</v>
      </c>
      <c r="C78" s="58" t="s">
        <v>279</v>
      </c>
    </row>
    <row r="79" spans="1:3" ht="115.5" thickBot="1" x14ac:dyDescent="0.35">
      <c r="A79" s="55" t="s">
        <v>88</v>
      </c>
      <c r="B79" s="56" t="s">
        <v>280</v>
      </c>
      <c r="C79" s="58" t="s">
        <v>281</v>
      </c>
    </row>
    <row r="80" spans="1:3" ht="115.5" thickBot="1" x14ac:dyDescent="0.35">
      <c r="A80" s="55" t="s">
        <v>120</v>
      </c>
      <c r="B80" s="56" t="s">
        <v>282</v>
      </c>
      <c r="C80" s="57" t="s">
        <v>283</v>
      </c>
    </row>
    <row r="81" spans="1:3" ht="90" thickBot="1" x14ac:dyDescent="0.35">
      <c r="A81" s="55" t="s">
        <v>91</v>
      </c>
      <c r="B81" s="56" t="s">
        <v>284</v>
      </c>
      <c r="C81" s="58" t="s">
        <v>285</v>
      </c>
    </row>
    <row r="82" spans="1:3" ht="51.75" thickBot="1" x14ac:dyDescent="0.35">
      <c r="A82" s="55" t="s">
        <v>113</v>
      </c>
      <c r="B82" s="56" t="s">
        <v>286</v>
      </c>
      <c r="C82" s="57" t="s">
        <v>287</v>
      </c>
    </row>
    <row r="83" spans="1:3" ht="166.5" thickBot="1" x14ac:dyDescent="0.35">
      <c r="A83" s="55" t="s">
        <v>32</v>
      </c>
      <c r="B83" s="56" t="s">
        <v>288</v>
      </c>
      <c r="C83" s="57" t="s">
        <v>289</v>
      </c>
    </row>
    <row r="84" spans="1:3" ht="141" thickBot="1" x14ac:dyDescent="0.35">
      <c r="A84" s="55" t="s">
        <v>92</v>
      </c>
      <c r="B84" s="56" t="s">
        <v>290</v>
      </c>
      <c r="C84" s="58" t="s">
        <v>291</v>
      </c>
    </row>
    <row r="85" spans="1:3" ht="141" thickBot="1" x14ac:dyDescent="0.35">
      <c r="A85" s="55" t="s">
        <v>79</v>
      </c>
      <c r="B85" s="56" t="s">
        <v>292</v>
      </c>
      <c r="C85" s="58" t="s">
        <v>293</v>
      </c>
    </row>
    <row r="86" spans="1:3" ht="128.25" thickBot="1" x14ac:dyDescent="0.35">
      <c r="A86" s="55" t="s">
        <v>294</v>
      </c>
      <c r="B86" s="56" t="s">
        <v>295</v>
      </c>
      <c r="C86" s="57" t="s">
        <v>246</v>
      </c>
    </row>
    <row r="87" spans="1:3" ht="128.25" thickBot="1" x14ac:dyDescent="0.35">
      <c r="A87" s="55" t="s">
        <v>82</v>
      </c>
      <c r="B87" s="56" t="s">
        <v>296</v>
      </c>
      <c r="C87" s="57" t="s">
        <v>297</v>
      </c>
    </row>
    <row r="88" spans="1:3" ht="115.5" thickBot="1" x14ac:dyDescent="0.35">
      <c r="A88" s="55" t="s">
        <v>95</v>
      </c>
      <c r="B88" s="56" t="s">
        <v>298</v>
      </c>
      <c r="C88" s="57" t="s">
        <v>299</v>
      </c>
    </row>
    <row r="89" spans="1:3" ht="128.25" thickBot="1" x14ac:dyDescent="0.35">
      <c r="A89" s="55" t="s">
        <v>93</v>
      </c>
      <c r="B89" s="56" t="s">
        <v>300</v>
      </c>
      <c r="C89" s="58" t="s">
        <v>301</v>
      </c>
    </row>
    <row r="90" spans="1:3" ht="115.5" thickBot="1" x14ac:dyDescent="0.35">
      <c r="A90" s="55" t="s">
        <v>94</v>
      </c>
      <c r="B90" s="56" t="s">
        <v>302</v>
      </c>
      <c r="C90" s="57" t="s">
        <v>303</v>
      </c>
    </row>
    <row r="91" spans="1:3" ht="128.25" thickBot="1" x14ac:dyDescent="0.35">
      <c r="A91" s="55" t="s">
        <v>304</v>
      </c>
      <c r="B91" s="56" t="s">
        <v>305</v>
      </c>
      <c r="C91" s="57" t="s">
        <v>306</v>
      </c>
    </row>
    <row r="92" spans="1:3" ht="179.25" thickBot="1" x14ac:dyDescent="0.35">
      <c r="A92" s="55" t="s">
        <v>96</v>
      </c>
      <c r="B92" s="56" t="s">
        <v>307</v>
      </c>
      <c r="C92" s="57" t="s">
        <v>308</v>
      </c>
    </row>
    <row r="93" spans="1:3" ht="166.5" thickBot="1" x14ac:dyDescent="0.35">
      <c r="A93" s="55" t="s">
        <v>100</v>
      </c>
      <c r="B93" s="56" t="s">
        <v>309</v>
      </c>
      <c r="C93" s="58" t="s">
        <v>310</v>
      </c>
    </row>
    <row r="94" spans="1:3" ht="64.5" thickBot="1" x14ac:dyDescent="0.35">
      <c r="A94" s="55" t="s">
        <v>101</v>
      </c>
      <c r="B94" s="56" t="s">
        <v>311</v>
      </c>
      <c r="C94" s="57" t="s">
        <v>131</v>
      </c>
    </row>
    <row r="95" spans="1:3" ht="90" thickBot="1" x14ac:dyDescent="0.35">
      <c r="A95" s="55" t="s">
        <v>84</v>
      </c>
      <c r="B95" s="56" t="s">
        <v>312</v>
      </c>
      <c r="C95" s="58" t="s">
        <v>313</v>
      </c>
    </row>
    <row r="96" spans="1:3" ht="115.5" thickBot="1" x14ac:dyDescent="0.35">
      <c r="A96" s="55" t="s">
        <v>99</v>
      </c>
      <c r="B96" s="56" t="s">
        <v>314</v>
      </c>
      <c r="C96" s="57" t="s">
        <v>315</v>
      </c>
    </row>
    <row r="97" spans="1:3" ht="76.5" x14ac:dyDescent="0.3">
      <c r="A97" s="59" t="s">
        <v>98</v>
      </c>
      <c r="B97" s="60" t="s">
        <v>316</v>
      </c>
      <c r="C97" s="61" t="s">
        <v>317</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546df9-46e0-4fbf-8c8f-4b598d59ff9f" xsi:nil="true"/>
    <lcf76f155ced4ddcb4097134ff3c332f xmlns="b37bc3af-94aa-4cce-9381-1e56444bf3e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26BC55E6868D48903A674712737E6A" ma:contentTypeVersion="9" ma:contentTypeDescription="Create a new document." ma:contentTypeScope="" ma:versionID="e26bac384e91ce57878cd325d254c13a">
  <xsd:schema xmlns:xsd="http://www.w3.org/2001/XMLSchema" xmlns:xs="http://www.w3.org/2001/XMLSchema" xmlns:p="http://schemas.microsoft.com/office/2006/metadata/properties" xmlns:ns2="b37bc3af-94aa-4cce-9381-1e56444bf3ef" xmlns:ns3="60546df9-46e0-4fbf-8c8f-4b598d59ff9f" targetNamespace="http://schemas.microsoft.com/office/2006/metadata/properties" ma:root="true" ma:fieldsID="1a3bfe893d2a514a5284728adf921e66" ns2:_="" ns3:_="">
    <xsd:import namespace="b37bc3af-94aa-4cce-9381-1e56444bf3ef"/>
    <xsd:import namespace="60546df9-46e0-4fbf-8c8f-4b598d59ff9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7bc3af-94aa-4cce-9381-1e56444bf3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70b9645-c438-40d5-a2b4-2129adc66d7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546df9-46e0-4fbf-8c8f-4b598d59ff9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18e2489-8551-4d2d-8645-62492beda5a5}" ma:internalName="TaxCatchAll" ma:showField="CatchAllData" ma:web="60546df9-46e0-4fbf-8c8f-4b598d59ff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93E9D5-9816-448C-B66F-72D63C16394C}">
  <ds:schemaRefs>
    <ds:schemaRef ds:uri="http://schemas.microsoft.com/office/2006/metadata/properties"/>
    <ds:schemaRef ds:uri="60546df9-46e0-4fbf-8c8f-4b598d59ff9f"/>
    <ds:schemaRef ds:uri="http://www.w3.org/XML/1998/namespace"/>
    <ds:schemaRef ds:uri="http://schemas.openxmlformats.org/package/2006/metadata/core-properties"/>
    <ds:schemaRef ds:uri="http://purl.org/dc/dcmitype/"/>
    <ds:schemaRef ds:uri="http://purl.org/dc/terms/"/>
    <ds:schemaRef ds:uri="http://purl.org/dc/elements/1.1/"/>
    <ds:schemaRef ds:uri="b37bc3af-94aa-4cce-9381-1e56444bf3ef"/>
    <ds:schemaRef ds:uri="http://schemas.microsoft.com/office/2006/documentManagement/types"/>
    <ds:schemaRef ds:uri="http://schemas.microsoft.com/office/infopath/2007/PartnerControls"/>
  </ds:schemaRefs>
</ds:datastoreItem>
</file>

<file path=customXml/itemProps2.xml><?xml version="1.0" encoding="utf-8"?>
<ds:datastoreItem xmlns:ds="http://schemas.openxmlformats.org/officeDocument/2006/customXml" ds:itemID="{B0667554-C79B-456B-8FC1-7D50F8E5FD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7bc3af-94aa-4cce-9381-1e56444bf3ef"/>
    <ds:schemaRef ds:uri="60546df9-46e0-4fbf-8c8f-4b598d59ff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D49FAB-C109-47CC-B7D3-66864A8E65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Calculator</vt:lpstr>
      <vt:lpstr>Chi-Statistics</vt:lpstr>
      <vt:lpstr>Item Cost Drop Down</vt:lpstr>
      <vt:lpstr>Citations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Petersen</dc:creator>
  <cp:keywords/>
  <dc:description/>
  <cp:lastModifiedBy>Emily Calabro</cp:lastModifiedBy>
  <cp:revision/>
  <dcterms:created xsi:type="dcterms:W3CDTF">2023-06-16T20:24:49Z</dcterms:created>
  <dcterms:modified xsi:type="dcterms:W3CDTF">2025-11-05T01:10:41Z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0x0101005F26BC55E6868D48903A674712737E6A</vt:lpwstr>
  </property>
  <property fmtid="{D5CDD505-2E9C-101B-9397-08002B2CF9AE}" pid="3" name="MediaServiceImageTags">
    <vt:lpwstr/>
  </property>
</Properties>
</file>